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Dennis\Desktop\### BUSINESSES ###\2000 - ARUCASA\600 - Downloads\"/>
    </mc:Choice>
  </mc:AlternateContent>
  <bookViews>
    <workbookView xWindow="0" yWindow="0" windowWidth="20400" windowHeight="11745" activeTab="1"/>
  </bookViews>
  <sheets>
    <sheet name="Immobilie" sheetId="15" r:id="rId1"/>
    <sheet name="Übersicht" sheetId="1" r:id="rId2"/>
    <sheet name="Bank" sheetId="2" r:id="rId3"/>
    <sheet name="Darlehen" sheetId="13" r:id="rId4"/>
    <sheet name="Konfiguration" sheetId="5" r:id="rId5"/>
  </sheets>
  <externalReferences>
    <externalReference r:id="rId6"/>
    <externalReference r:id="rId7"/>
  </externalReferences>
  <definedNames>
    <definedName name="AnzahlZahlungen">MATCH(0.01,SchlussSaldo,-1)+1</definedName>
    <definedName name="AnzahlZahlungen_KV">MATCH(0.01,SchlussSaldo,-1)+1</definedName>
    <definedName name="AnzahlZahlungen_KV2">MATCH(0.01,SchlussSaldo,-1)+1</definedName>
    <definedName name="Ausgaben">[1]GIRO_NR!$D$54:$D$85</definedName>
    <definedName name="DarlehenIstGut">(Darlehen!$D$5*Darlehen!$D$6*Darlehen!$D$7*Darlehen!$G$11)&gt;0</definedName>
    <definedName name="DarlehensAnfangsDatum">Darlehen!$G$11</definedName>
    <definedName name="DarlehensBetrag">Darlehen!$D$5</definedName>
    <definedName name="DarlehensZeitraum">Darlehen!$D$7</definedName>
    <definedName name="_xlnm.Print_Area" localSheetId="2">Bank!$B$3:$K$33</definedName>
    <definedName name="_xlnm.Print_Area" localSheetId="1">Übersicht!$B$2:$Q$26</definedName>
    <definedName name="Druckbereich_FESTLEGEN">OFFSET(Darlehen!$B$2,,,LetzteZeile,LetzteSpalte)</definedName>
    <definedName name="_xlnm.Print_Titles" localSheetId="3">Darlehen!$13:$13</definedName>
    <definedName name="Eingabewerte">IF(Kreditbetrag*[0]!ZinsSatz*Kreditzeitraum*Kreditstartdatum&gt;0,1,0)</definedName>
    <definedName name="Eingabewerte_KV">IF(Kreditbetrag*[0]!ZinsSatz*Kreditzeitraum*Kreditstartdatum&gt;0,1,0)</definedName>
    <definedName name="Eingabewerte_KV2">IF(Kreditbetrag*[0]!ZinsSatz*Kreditzeitraum*Kreditstartdatum&gt;0,1,0)</definedName>
    <definedName name="Einnahmen">[1]GIRO_NR!$G$86:$G$90</definedName>
    <definedName name="End_Saldo">ZahlungsZeitplan[ENDSALDO]</definedName>
    <definedName name="Faktor_ErstellteVerpackte">'[2]HC-Planung'!$C$19</definedName>
    <definedName name="GeberName">Darlehen!#REF!</definedName>
    <definedName name="KV_AnzahlZahlungen">MATCH(0.01,SchlussSaldo,-1)+1</definedName>
    <definedName name="KV_Eingabewerte">IF(Kreditbetrag*[0]!ZinsSatz*Kreditzeitraum*Kreditstartdatum&gt;0,1,0)</definedName>
    <definedName name="KV_Zahlungsdatum">DATE(YEAR(Kreditstartdatum),MONTH(Kreditstartdatum)+Payment_Number,DAY(Kreditstartdatum))</definedName>
    <definedName name="LetzteSpalte">MATCH(REPT("z",255),Darlehen!$13:$13)</definedName>
    <definedName name="LetzteZeile">MATCH(9.99E+307,Darlehen!$B:$B)</definedName>
    <definedName name="PlanmäßigeAnzahlZahlungen">Darlehen!$G$7</definedName>
    <definedName name="PlanmäßigeZahlung">Darlehen!$G$5</definedName>
    <definedName name="SonderZahlungen">Darlehen!$D$11</definedName>
    <definedName name="Spaltentitel1">ZahlungsZeitplan[[#Headers],['#]]</definedName>
    <definedName name="SummeVorzeitigerZahlungen">SUM(ZahlungsZeitplan[SONDERZAHLUNG])</definedName>
    <definedName name="tab_Feiertage">[2]DATEN_Arbeitstage!$B$4:$C$27</definedName>
    <definedName name="tab_Kalenderdaten">[2]STUTE_Sheet!$A$10:$A$374</definedName>
    <definedName name="tab_Kalenderfeiertage">[2]STUTE_Sheet!$E$10:$E$374</definedName>
    <definedName name="tab_Kalendermonate">[2]STUTE_Sheet!$C$10:$C$374</definedName>
    <definedName name="tab_Kalendertage">[2]STUTE_Sheet!$D$10:$D$374</definedName>
    <definedName name="tab_Kalenderwochen">[2]STUTE_Sheet!$B$10:$B$374</definedName>
    <definedName name="tab_OP2018">'[2]HC-Planung'!$B$18:$O$23</definedName>
    <definedName name="tab_PLAN_ErstelltePositionenWH_Tag">[2]STUTE_Sheet!$U$10:$U$374</definedName>
    <definedName name="tab_PLAN_VerpacktePositionen_Tag">[2]STUTE_Sheet!$L$10:$L$374</definedName>
    <definedName name="TatsächlicheAnzahlZahlungen">IFERROR(IF(DarlehenIstGut,IF(ZahlungenProJahr=1,1,MATCH(0.01,End_Saldo,-1)+1)),"")</definedName>
    <definedName name="ZahlungenProJahr">Darlehen!$D$10</definedName>
    <definedName name="Zahlungsdatum">DATE(YEAR(Kreditstartdatum),MONTH(Kreditstartdatum)+Payment_Number,DAY(Kreditstartdatum))</definedName>
    <definedName name="Zahlungsdatum_KV">DATE(YEAR(Kreditstartdatum),MONTH(Kreditstartdatum)+Payment_Number,DAY(Kreditstartdatum))</definedName>
    <definedName name="Zahlungsdatum_KV2">DATE(YEAR(Kreditstartdatum),MONTH(Kreditstartdatum)+Payment_Number,DAY(Kreditstartdatum))</definedName>
    <definedName name="ZeilenTitelBereich1...E9">Darlehen!$C$5:$D$5</definedName>
    <definedName name="ZeilenTitelBereich2...I7">Darlehen!$F$5:$G$5</definedName>
    <definedName name="ZeilenTitelBereich3...E9">Darlehen!$C$11</definedName>
    <definedName name="ZeilenTitelBereich4...H9">Darlehen!$K$9</definedName>
    <definedName name="ZinsenGesamt">SUM(ZahlungsZeitplan[ZINSEN])</definedName>
    <definedName name="ZinsSatz">Darlehen!$D$6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 i="13" l="1"/>
  <c r="D3" i="2"/>
  <c r="K17" i="1"/>
  <c r="K13" i="1"/>
  <c r="C60" i="15"/>
  <c r="Q21" i="1" s="1"/>
  <c r="C51" i="15"/>
  <c r="C67" i="15" s="1"/>
  <c r="H5" i="1"/>
  <c r="C46" i="15"/>
  <c r="C26" i="15"/>
  <c r="C13" i="15" s="1"/>
  <c r="D2" i="1"/>
  <c r="C32" i="15" l="1"/>
  <c r="K6" i="1"/>
  <c r="K5" i="1"/>
  <c r="C66" i="15"/>
  <c r="C65" i="15" s="1"/>
  <c r="F4" i="5"/>
  <c r="J6" i="13" l="1"/>
  <c r="J5" i="13"/>
  <c r="G11" i="13" l="1"/>
  <c r="F7" i="5" l="1"/>
  <c r="F6" i="5" l="1"/>
  <c r="F5" i="5"/>
  <c r="B8" i="1"/>
  <c r="D12" i="1" l="1"/>
  <c r="H22" i="1"/>
  <c r="D10" i="13"/>
  <c r="D15" i="1"/>
  <c r="D8" i="1"/>
  <c r="D14" i="1"/>
  <c r="H7" i="1"/>
  <c r="D13" i="1"/>
  <c r="E22" i="1"/>
  <c r="D11" i="1"/>
  <c r="H23" i="1"/>
  <c r="H18" i="1" l="1"/>
  <c r="K12" i="1"/>
  <c r="C35" i="15"/>
  <c r="C12" i="15" s="1"/>
  <c r="N7" i="1" s="1"/>
  <c r="D22" i="1"/>
  <c r="D13" i="2"/>
  <c r="E15" i="1"/>
  <c r="E13" i="1"/>
  <c r="H9" i="1"/>
  <c r="K11" i="1"/>
  <c r="N19" i="1"/>
  <c r="D9" i="13"/>
  <c r="C5" i="1"/>
  <c r="D8" i="2" s="1"/>
  <c r="N5" i="1"/>
  <c r="G8" i="2" s="1"/>
  <c r="N10" i="1"/>
  <c r="D17" i="2" s="1"/>
  <c r="D5" i="13"/>
  <c r="E5" i="1"/>
  <c r="D6" i="13"/>
  <c r="N8" i="1"/>
  <c r="G10" i="2" s="1"/>
  <c r="N18" i="1"/>
  <c r="D7" i="13"/>
  <c r="E12" i="1"/>
  <c r="K9" i="13"/>
  <c r="K8" i="13"/>
  <c r="E20" i="1"/>
  <c r="H14" i="1"/>
  <c r="E21" i="1"/>
  <c r="D21" i="1" s="1"/>
  <c r="D16" i="1"/>
  <c r="E11" i="1"/>
  <c r="E14" i="1"/>
  <c r="D8" i="13"/>
  <c r="N17" i="1"/>
  <c r="N6" i="1" l="1"/>
  <c r="G13" i="2" s="1"/>
  <c r="K14" i="1"/>
  <c r="K8" i="1"/>
  <c r="Q14" i="1" s="1"/>
  <c r="J14" i="2" s="1"/>
  <c r="J23" i="2" s="1"/>
  <c r="H8" i="1"/>
  <c r="H13" i="1" s="1"/>
  <c r="H15" i="1" s="1"/>
  <c r="K6" i="13"/>
  <c r="N25" i="1" s="1"/>
  <c r="E16" i="1"/>
  <c r="K7" i="13"/>
  <c r="K5" i="13"/>
  <c r="N23" i="1" s="1"/>
  <c r="G7" i="13"/>
  <c r="B296" i="13" s="1"/>
  <c r="H6" i="1"/>
  <c r="E23" i="1"/>
  <c r="D20" i="1"/>
  <c r="D9" i="1"/>
  <c r="D9" i="2" s="1"/>
  <c r="J8" i="2" l="1"/>
  <c r="H19" i="1"/>
  <c r="H10" i="1"/>
  <c r="B26" i="13"/>
  <c r="C26" i="13" s="1"/>
  <c r="B95" i="13"/>
  <c r="C95" i="13" s="1"/>
  <c r="B251" i="13"/>
  <c r="C251" i="13" s="1"/>
  <c r="B233" i="13"/>
  <c r="C233" i="13" s="1"/>
  <c r="B56" i="13"/>
  <c r="C56" i="13" s="1"/>
  <c r="B237" i="13"/>
  <c r="C237" i="13" s="1"/>
  <c r="B172" i="13"/>
  <c r="C172" i="13" s="1"/>
  <c r="B23" i="13"/>
  <c r="C23" i="13" s="1"/>
  <c r="B149" i="13"/>
  <c r="C149" i="13" s="1"/>
  <c r="B249" i="13"/>
  <c r="C249" i="13" s="1"/>
  <c r="B158" i="13"/>
  <c r="C158" i="13" s="1"/>
  <c r="B238" i="13"/>
  <c r="C238" i="13" s="1"/>
  <c r="B74" i="13"/>
  <c r="C74" i="13" s="1"/>
  <c r="B180" i="13"/>
  <c r="C180" i="13" s="1"/>
  <c r="B92" i="13"/>
  <c r="C92" i="13" s="1"/>
  <c r="B181" i="13"/>
  <c r="C181" i="13" s="1"/>
  <c r="B152" i="13"/>
  <c r="C152" i="13" s="1"/>
  <c r="B113" i="13"/>
  <c r="C113" i="13" s="1"/>
  <c r="B83" i="13"/>
  <c r="C83" i="13" s="1"/>
  <c r="B202" i="13"/>
  <c r="C202" i="13" s="1"/>
  <c r="B159" i="13"/>
  <c r="C159" i="13" s="1"/>
  <c r="B30" i="13"/>
  <c r="C30" i="13" s="1"/>
  <c r="B14" i="13"/>
  <c r="C14" i="13" s="1"/>
  <c r="K7" i="1"/>
  <c r="B166" i="13"/>
  <c r="C166" i="13" s="1"/>
  <c r="B102" i="13"/>
  <c r="C102" i="13" s="1"/>
  <c r="B191" i="13"/>
  <c r="C191" i="13" s="1"/>
  <c r="B231" i="13"/>
  <c r="C231" i="13" s="1"/>
  <c r="B150" i="13"/>
  <c r="C150" i="13" s="1"/>
  <c r="B57" i="13"/>
  <c r="C57" i="13" s="1"/>
  <c r="B222" i="13"/>
  <c r="C222" i="13" s="1"/>
  <c r="B314" i="13"/>
  <c r="E314" i="13" s="1"/>
  <c r="B258" i="13"/>
  <c r="K258" i="13" s="1"/>
  <c r="B103" i="13"/>
  <c r="C103" i="13" s="1"/>
  <c r="B204" i="13"/>
  <c r="C204" i="13" s="1"/>
  <c r="B77" i="13"/>
  <c r="C77" i="13" s="1"/>
  <c r="B99" i="13"/>
  <c r="C99" i="13" s="1"/>
  <c r="B283" i="13"/>
  <c r="F283" i="13" s="1"/>
  <c r="B320" i="13"/>
  <c r="K320" i="13" s="1"/>
  <c r="B137" i="13"/>
  <c r="C137" i="13" s="1"/>
  <c r="B157" i="13"/>
  <c r="C157" i="13" s="1"/>
  <c r="B66" i="13"/>
  <c r="C66" i="13" s="1"/>
  <c r="B52" i="13"/>
  <c r="C52" i="13" s="1"/>
  <c r="B364" i="13"/>
  <c r="F364" i="13" s="1"/>
  <c r="B348" i="13"/>
  <c r="D348" i="13" s="1"/>
  <c r="B44" i="13"/>
  <c r="C44" i="13" s="1"/>
  <c r="B311" i="13"/>
  <c r="D311" i="13" s="1"/>
  <c r="B27" i="13"/>
  <c r="C27" i="13" s="1"/>
  <c r="B96" i="13"/>
  <c r="C96" i="13" s="1"/>
  <c r="B242" i="13"/>
  <c r="C242" i="13" s="1"/>
  <c r="B20" i="13"/>
  <c r="C20" i="13" s="1"/>
  <c r="B363" i="13"/>
  <c r="D363" i="13" s="1"/>
  <c r="B358" i="13"/>
  <c r="D358" i="13" s="1"/>
  <c r="B36" i="13"/>
  <c r="C36" i="13" s="1"/>
  <c r="B94" i="13"/>
  <c r="C94" i="13" s="1"/>
  <c r="B125" i="13"/>
  <c r="C125" i="13" s="1"/>
  <c r="B147" i="13"/>
  <c r="C147" i="13" s="1"/>
  <c r="B143" i="13"/>
  <c r="C143" i="13" s="1"/>
  <c r="B132" i="13"/>
  <c r="C132" i="13" s="1"/>
  <c r="B286" i="13"/>
  <c r="I286" i="13" s="1"/>
  <c r="B324" i="13"/>
  <c r="F324" i="13" s="1"/>
  <c r="B117" i="13"/>
  <c r="C117" i="13" s="1"/>
  <c r="B70" i="13"/>
  <c r="C70" i="13" s="1"/>
  <c r="B110" i="13"/>
  <c r="C110" i="13" s="1"/>
  <c r="B22" i="13"/>
  <c r="C22" i="13" s="1"/>
  <c r="B43" i="13"/>
  <c r="C43" i="13" s="1"/>
  <c r="B276" i="13"/>
  <c r="G276" i="13" s="1"/>
  <c r="B281" i="13"/>
  <c r="E281" i="13" s="1"/>
  <c r="B239" i="13"/>
  <c r="C239" i="13" s="1"/>
  <c r="B123" i="13"/>
  <c r="C123" i="13" s="1"/>
  <c r="B41" i="13"/>
  <c r="C41" i="13" s="1"/>
  <c r="B190" i="13"/>
  <c r="C190" i="13" s="1"/>
  <c r="B266" i="13"/>
  <c r="K266" i="13" s="1"/>
  <c r="B285" i="13"/>
  <c r="C285" i="13" s="1"/>
  <c r="B168" i="13"/>
  <c r="C168" i="13" s="1"/>
  <c r="B250" i="13"/>
  <c r="C250" i="13" s="1"/>
  <c r="B65" i="13"/>
  <c r="C65" i="13" s="1"/>
  <c r="B259" i="13"/>
  <c r="C259" i="13" s="1"/>
  <c r="B211" i="13"/>
  <c r="C211" i="13" s="1"/>
  <c r="B141" i="13"/>
  <c r="C141" i="13" s="1"/>
  <c r="B277" i="13"/>
  <c r="H277" i="13" s="1"/>
  <c r="G296" i="13"/>
  <c r="F296" i="13"/>
  <c r="K296" i="13"/>
  <c r="J296" i="13"/>
  <c r="D296" i="13"/>
  <c r="E296" i="13"/>
  <c r="I296" i="13"/>
  <c r="C296" i="13"/>
  <c r="H296" i="13"/>
  <c r="B232" i="13"/>
  <c r="B371" i="13"/>
  <c r="B347" i="13"/>
  <c r="B175" i="13"/>
  <c r="B282" i="13"/>
  <c r="B58" i="13"/>
  <c r="B372" i="13"/>
  <c r="B268" i="13"/>
  <c r="B354" i="13"/>
  <c r="B307" i="13"/>
  <c r="B342" i="13"/>
  <c r="B156" i="13"/>
  <c r="B138" i="13"/>
  <c r="B252" i="13"/>
  <c r="B188" i="13"/>
  <c r="B160" i="13"/>
  <c r="B121" i="13"/>
  <c r="B76" i="13"/>
  <c r="B169" i="13"/>
  <c r="B163" i="13"/>
  <c r="B142" i="13"/>
  <c r="B165" i="13"/>
  <c r="B140" i="13"/>
  <c r="B227" i="13"/>
  <c r="B87" i="13"/>
  <c r="B34" i="13"/>
  <c r="B134" i="13"/>
  <c r="B197" i="13"/>
  <c r="B51" i="13"/>
  <c r="B224" i="13"/>
  <c r="B39" i="13"/>
  <c r="B35" i="13"/>
  <c r="B174" i="13"/>
  <c r="B271" i="13"/>
  <c r="B81" i="13"/>
  <c r="B161" i="13"/>
  <c r="B17" i="13"/>
  <c r="B373" i="13"/>
  <c r="B295" i="13"/>
  <c r="B312" i="13"/>
  <c r="B368" i="13"/>
  <c r="B369" i="13"/>
  <c r="B346" i="13"/>
  <c r="B298" i="13"/>
  <c r="B331" i="13"/>
  <c r="B294" i="13"/>
  <c r="B135" i="13"/>
  <c r="B328" i="13"/>
  <c r="B327" i="13"/>
  <c r="B100" i="13"/>
  <c r="B217" i="13"/>
  <c r="B182" i="13"/>
  <c r="B279" i="13"/>
  <c r="B177" i="13"/>
  <c r="B355" i="13"/>
  <c r="B212" i="13"/>
  <c r="B332" i="13"/>
  <c r="B245" i="13"/>
  <c r="B85" i="13"/>
  <c r="B291" i="13"/>
  <c r="B223" i="13"/>
  <c r="B109" i="13"/>
  <c r="B79" i="13"/>
  <c r="B24" i="13"/>
  <c r="B108" i="13"/>
  <c r="B38" i="13"/>
  <c r="B192" i="13"/>
  <c r="B173" i="13"/>
  <c r="B82" i="13"/>
  <c r="B210" i="13"/>
  <c r="B310" i="13"/>
  <c r="B365" i="13"/>
  <c r="B313" i="13"/>
  <c r="B128" i="13"/>
  <c r="B193" i="13"/>
  <c r="B333" i="13"/>
  <c r="B80" i="13"/>
  <c r="B367" i="13"/>
  <c r="B293" i="13"/>
  <c r="B338" i="13"/>
  <c r="B289" i="13"/>
  <c r="B302" i="13"/>
  <c r="B370" i="13"/>
  <c r="B63" i="13"/>
  <c r="B61" i="13"/>
  <c r="B319" i="13"/>
  <c r="B213" i="13"/>
  <c r="B349" i="13"/>
  <c r="B200" i="13"/>
  <c r="B350" i="13"/>
  <c r="B323" i="13"/>
  <c r="B340" i="13"/>
  <c r="B300" i="13"/>
  <c r="B335" i="13"/>
  <c r="B25" i="13"/>
  <c r="B208" i="13"/>
  <c r="B270" i="13"/>
  <c r="B124" i="13"/>
  <c r="B194" i="13"/>
  <c r="B185" i="13"/>
  <c r="B37" i="13"/>
  <c r="B145" i="13"/>
  <c r="B230" i="13"/>
  <c r="B32" i="13"/>
  <c r="B115" i="13"/>
  <c r="B19" i="13"/>
  <c r="B186" i="13"/>
  <c r="B60" i="13"/>
  <c r="B317" i="13"/>
  <c r="B339" i="13"/>
  <c r="B362" i="13"/>
  <c r="B171" i="13"/>
  <c r="B219" i="13"/>
  <c r="B357" i="13"/>
  <c r="B306" i="13"/>
  <c r="B176" i="13"/>
  <c r="B351" i="13"/>
  <c r="B101" i="13"/>
  <c r="B284" i="13"/>
  <c r="B272" i="13"/>
  <c r="B297" i="13"/>
  <c r="B15" i="13"/>
  <c r="B167" i="13"/>
  <c r="B67" i="13"/>
  <c r="B261" i="13"/>
  <c r="B68" i="13"/>
  <c r="B352" i="13"/>
  <c r="B46" i="13"/>
  <c r="B336" i="13"/>
  <c r="B155" i="13"/>
  <c r="B301" i="13"/>
  <c r="B199" i="13"/>
  <c r="B90" i="13"/>
  <c r="B31" i="13"/>
  <c r="B183" i="13"/>
  <c r="B64" i="13"/>
  <c r="B50" i="13"/>
  <c r="B225" i="13"/>
  <c r="B226" i="13"/>
  <c r="B53" i="13"/>
  <c r="B55" i="13"/>
  <c r="B93" i="13"/>
  <c r="B244" i="13"/>
  <c r="B59" i="13"/>
  <c r="B229" i="13"/>
  <c r="B104" i="13"/>
  <c r="B214" i="13"/>
  <c r="B246" i="13"/>
  <c r="B292" i="13"/>
  <c r="B116" i="13"/>
  <c r="B198" i="13"/>
  <c r="B72" i="13"/>
  <c r="B162" i="13"/>
  <c r="B89" i="13"/>
  <c r="B49" i="13"/>
  <c r="B42" i="13"/>
  <c r="B130" i="13"/>
  <c r="B54" i="13"/>
  <c r="B84" i="13"/>
  <c r="B111" i="13"/>
  <c r="B240" i="13"/>
  <c r="B360" i="13"/>
  <c r="B278" i="13"/>
  <c r="B205" i="13"/>
  <c r="B133" i="13"/>
  <c r="B322" i="13"/>
  <c r="B318" i="13"/>
  <c r="B305" i="13"/>
  <c r="B290" i="13"/>
  <c r="B334" i="13"/>
  <c r="B287" i="13"/>
  <c r="B260" i="13"/>
  <c r="B257" i="13"/>
  <c r="B33" i="13"/>
  <c r="B78" i="13"/>
  <c r="B321" i="13"/>
  <c r="B309" i="13"/>
  <c r="B126" i="13"/>
  <c r="B304" i="13"/>
  <c r="B216" i="13"/>
  <c r="B353" i="13"/>
  <c r="B40" i="13"/>
  <c r="B235" i="13"/>
  <c r="B195" i="13"/>
  <c r="B71" i="13"/>
  <c r="B48" i="13"/>
  <c r="B28" i="13"/>
  <c r="B105" i="13"/>
  <c r="B154" i="13"/>
  <c r="B203" i="13"/>
  <c r="B144" i="13"/>
  <c r="G15" i="2"/>
  <c r="D15" i="2"/>
  <c r="D23" i="1"/>
  <c r="D10" i="1"/>
  <c r="D10" i="2" s="1"/>
  <c r="B187" i="13"/>
  <c r="B241" i="13"/>
  <c r="B206" i="13"/>
  <c r="B253" i="13"/>
  <c r="B122" i="13"/>
  <c r="B151" i="13"/>
  <c r="B18" i="13"/>
  <c r="B69" i="13"/>
  <c r="B153" i="13"/>
  <c r="B207" i="13"/>
  <c r="B119" i="13"/>
  <c r="B179" i="13"/>
  <c r="B209" i="13"/>
  <c r="B75" i="13"/>
  <c r="B243" i="13"/>
  <c r="B146" i="13"/>
  <c r="B112" i="13"/>
  <c r="B114" i="13"/>
  <c r="B228" i="13"/>
  <c r="B248" i="13"/>
  <c r="B215" i="13"/>
  <c r="B247" i="13"/>
  <c r="B280" i="13"/>
  <c r="B255" i="13"/>
  <c r="B315" i="13"/>
  <c r="B164" i="13"/>
  <c r="B136" i="13"/>
  <c r="B274" i="13"/>
  <c r="B316" i="13"/>
  <c r="B366" i="13"/>
  <c r="B329" i="13"/>
  <c r="B288" i="13"/>
  <c r="B275" i="13"/>
  <c r="B299" i="13"/>
  <c r="B337" i="13"/>
  <c r="B91" i="13"/>
  <c r="B356" i="13"/>
  <c r="G5" i="13"/>
  <c r="B308" i="13"/>
  <c r="B106" i="13"/>
  <c r="B273" i="13"/>
  <c r="B73" i="13"/>
  <c r="B326" i="13"/>
  <c r="B267" i="13"/>
  <c r="Q5" i="1"/>
  <c r="Q6" i="1" s="1"/>
  <c r="J9" i="2" s="1"/>
  <c r="Q7" i="1"/>
  <c r="B178" i="13"/>
  <c r="B139" i="13"/>
  <c r="B86" i="13"/>
  <c r="B107" i="13"/>
  <c r="B170" i="13"/>
  <c r="B189" i="13"/>
  <c r="B236" i="13"/>
  <c r="B120" i="13"/>
  <c r="B184" i="13"/>
  <c r="B234" i="13"/>
  <c r="B98" i="13"/>
  <c r="B196" i="13"/>
  <c r="B148" i="13"/>
  <c r="B21" i="13"/>
  <c r="B269" i="13"/>
  <c r="B118" i="13"/>
  <c r="B129" i="13"/>
  <c r="B131" i="13"/>
  <c r="B88" i="13"/>
  <c r="B218" i="13"/>
  <c r="B344" i="13"/>
  <c r="B264" i="13"/>
  <c r="B97" i="13"/>
  <c r="B265" i="13"/>
  <c r="B345" i="13"/>
  <c r="B263" i="13"/>
  <c r="B361" i="13"/>
  <c r="B29" i="13"/>
  <c r="B220" i="13"/>
  <c r="B201" i="13"/>
  <c r="B256" i="13"/>
  <c r="B16" i="13"/>
  <c r="B343" i="13"/>
  <c r="B330" i="13"/>
  <c r="B47" i="13"/>
  <c r="B303" i="13"/>
  <c r="B341" i="13"/>
  <c r="B359" i="13"/>
  <c r="B221" i="13"/>
  <c r="B254" i="13"/>
  <c r="B62" i="13"/>
  <c r="B127" i="13"/>
  <c r="B262" i="13"/>
  <c r="B325" i="13"/>
  <c r="B45" i="13"/>
  <c r="J13" i="2"/>
  <c r="I23" i="2" s="1"/>
  <c r="Q13" i="1"/>
  <c r="D14" i="2"/>
  <c r="G14" i="2"/>
  <c r="E24" i="1"/>
  <c r="H24" i="1"/>
  <c r="Q23" i="1" s="1"/>
  <c r="I364" i="13" l="1"/>
  <c r="J281" i="13"/>
  <c r="H281" i="13"/>
  <c r="I281" i="13"/>
  <c r="D364" i="13"/>
  <c r="K286" i="13"/>
  <c r="E363" i="13"/>
  <c r="G281" i="13"/>
  <c r="C281" i="13"/>
  <c r="H364" i="13"/>
  <c r="J363" i="13"/>
  <c r="D281" i="13"/>
  <c r="C364" i="13"/>
  <c r="F281" i="13"/>
  <c r="K364" i="13"/>
  <c r="J364" i="13"/>
  <c r="K281" i="13"/>
  <c r="G364" i="13"/>
  <c r="E364" i="13"/>
  <c r="E286" i="13"/>
  <c r="K363" i="13"/>
  <c r="H286" i="13"/>
  <c r="J266" i="13"/>
  <c r="K277" i="13"/>
  <c r="J320" i="13"/>
  <c r="F258" i="13"/>
  <c r="E157" i="13"/>
  <c r="J277" i="13"/>
  <c r="G258" i="13"/>
  <c r="E266" i="13"/>
  <c r="C277" i="13"/>
  <c r="H258" i="13"/>
  <c r="F266" i="13"/>
  <c r="I277" i="13"/>
  <c r="C258" i="13"/>
  <c r="G266" i="13"/>
  <c r="F277" i="13"/>
  <c r="I258" i="13"/>
  <c r="D266" i="13"/>
  <c r="D277" i="13"/>
  <c r="D258" i="13"/>
  <c r="H266" i="13"/>
  <c r="C266" i="13"/>
  <c r="G277" i="13"/>
  <c r="I266" i="13"/>
  <c r="E277" i="13"/>
  <c r="E258" i="13"/>
  <c r="J258" i="13"/>
  <c r="F358" i="13"/>
  <c r="F348" i="13"/>
  <c r="C324" i="13"/>
  <c r="G348" i="13"/>
  <c r="K348" i="13"/>
  <c r="D324" i="13"/>
  <c r="J348" i="13"/>
  <c r="K324" i="13"/>
  <c r="E358" i="13"/>
  <c r="E348" i="13"/>
  <c r="G324" i="13"/>
  <c r="C358" i="13"/>
  <c r="H348" i="13"/>
  <c r="E324" i="13"/>
  <c r="G358" i="13"/>
  <c r="I348" i="13"/>
  <c r="H358" i="13"/>
  <c r="C348" i="13"/>
  <c r="H324" i="13"/>
  <c r="I358" i="13"/>
  <c r="J324" i="13"/>
  <c r="J358" i="13"/>
  <c r="C363" i="13"/>
  <c r="D286" i="13"/>
  <c r="F311" i="13"/>
  <c r="G314" i="13"/>
  <c r="F314" i="13"/>
  <c r="D314" i="13"/>
  <c r="J314" i="13"/>
  <c r="C314" i="13"/>
  <c r="I314" i="13"/>
  <c r="K314" i="13"/>
  <c r="H314" i="13"/>
  <c r="D14" i="13"/>
  <c r="I14" i="13" s="1"/>
  <c r="Q15" i="1" s="1"/>
  <c r="Q22" i="1" s="1"/>
  <c r="K311" i="13"/>
  <c r="F320" i="13"/>
  <c r="E320" i="13"/>
  <c r="E311" i="13"/>
  <c r="H320" i="13"/>
  <c r="H311" i="13"/>
  <c r="D320" i="13"/>
  <c r="G311" i="13"/>
  <c r="I311" i="13"/>
  <c r="G320" i="13"/>
  <c r="J311" i="13"/>
  <c r="I320" i="13"/>
  <c r="C311" i="13"/>
  <c r="C320" i="13"/>
  <c r="I324" i="13"/>
  <c r="K358" i="13"/>
  <c r="J276" i="13"/>
  <c r="I285" i="13"/>
  <c r="D285" i="13"/>
  <c r="F276" i="13"/>
  <c r="E276" i="13"/>
  <c r="C276" i="13"/>
  <c r="I276" i="13"/>
  <c r="K276" i="13"/>
  <c r="H276" i="13"/>
  <c r="D276" i="13"/>
  <c r="K285" i="13"/>
  <c r="E285" i="13"/>
  <c r="G285" i="13"/>
  <c r="J285" i="13"/>
  <c r="F285" i="13"/>
  <c r="H285" i="13"/>
  <c r="C286" i="13"/>
  <c r="H363" i="13"/>
  <c r="G286" i="13"/>
  <c r="I363" i="13"/>
  <c r="J286" i="13"/>
  <c r="G363" i="13"/>
  <c r="F286" i="13"/>
  <c r="F363" i="13"/>
  <c r="G283" i="13"/>
  <c r="K283" i="13"/>
  <c r="E259" i="13"/>
  <c r="J283" i="13"/>
  <c r="J259" i="13"/>
  <c r="D283" i="13"/>
  <c r="G259" i="13"/>
  <c r="H283" i="13"/>
  <c r="H259" i="13"/>
  <c r="C283" i="13"/>
  <c r="I259" i="13"/>
  <c r="E283" i="13"/>
  <c r="K259" i="13"/>
  <c r="I283" i="13"/>
  <c r="F259" i="13"/>
  <c r="D259" i="13"/>
  <c r="E36" i="13"/>
  <c r="E113" i="13"/>
  <c r="E52" i="13"/>
  <c r="E123" i="13"/>
  <c r="E239" i="13"/>
  <c r="E14" i="13"/>
  <c r="E237" i="13"/>
  <c r="F356" i="13"/>
  <c r="G356" i="13"/>
  <c r="J356" i="13"/>
  <c r="H356" i="13"/>
  <c r="D356" i="13"/>
  <c r="E356" i="13"/>
  <c r="C356" i="13"/>
  <c r="K356" i="13"/>
  <c r="I356" i="13"/>
  <c r="C214" i="13"/>
  <c r="E214" i="13"/>
  <c r="C91" i="13"/>
  <c r="E91" i="13"/>
  <c r="C144" i="13"/>
  <c r="E144" i="13"/>
  <c r="E22" i="13"/>
  <c r="C89" i="13"/>
  <c r="E89" i="13"/>
  <c r="C17" i="13"/>
  <c r="E17" i="13"/>
  <c r="C51" i="13"/>
  <c r="E51" i="13"/>
  <c r="C142" i="13"/>
  <c r="E142" i="13"/>
  <c r="E138" i="13"/>
  <c r="C138" i="13"/>
  <c r="G282" i="13"/>
  <c r="E282" i="13"/>
  <c r="D282" i="13"/>
  <c r="K282" i="13"/>
  <c r="C282" i="13"/>
  <c r="F282" i="13"/>
  <c r="H282" i="13"/>
  <c r="J282" i="13"/>
  <c r="I282" i="13"/>
  <c r="E122" i="13"/>
  <c r="C122" i="13"/>
  <c r="C49" i="13"/>
  <c r="E49" i="13"/>
  <c r="E32" i="13"/>
  <c r="C32" i="13"/>
  <c r="C193" i="13"/>
  <c r="E193" i="13"/>
  <c r="G294" i="13"/>
  <c r="K294" i="13"/>
  <c r="I294" i="13"/>
  <c r="F294" i="13"/>
  <c r="J294" i="13"/>
  <c r="C294" i="13"/>
  <c r="D294" i="13"/>
  <c r="H294" i="13"/>
  <c r="E294" i="13"/>
  <c r="E224" i="13"/>
  <c r="C224" i="13"/>
  <c r="C62" i="13"/>
  <c r="E62" i="13"/>
  <c r="E20" i="13"/>
  <c r="J269" i="13"/>
  <c r="E269" i="13"/>
  <c r="G269" i="13"/>
  <c r="K269" i="13"/>
  <c r="C269" i="13"/>
  <c r="D269" i="13"/>
  <c r="I269" i="13"/>
  <c r="H269" i="13"/>
  <c r="F269" i="13"/>
  <c r="E159" i="13"/>
  <c r="C248" i="13"/>
  <c r="E248" i="13"/>
  <c r="C235" i="13"/>
  <c r="E235" i="13"/>
  <c r="E334" i="13"/>
  <c r="C334" i="13"/>
  <c r="K334" i="13"/>
  <c r="D334" i="13"/>
  <c r="F334" i="13"/>
  <c r="G334" i="13"/>
  <c r="J334" i="13"/>
  <c r="I334" i="13"/>
  <c r="H334" i="13"/>
  <c r="C225" i="13"/>
  <c r="E225" i="13"/>
  <c r="F284" i="13"/>
  <c r="H284" i="13"/>
  <c r="C284" i="13"/>
  <c r="K284" i="13"/>
  <c r="I284" i="13"/>
  <c r="D284" i="13"/>
  <c r="E284" i="13"/>
  <c r="G284" i="13"/>
  <c r="J284" i="13"/>
  <c r="G362" i="13"/>
  <c r="E362" i="13"/>
  <c r="J362" i="13"/>
  <c r="H362" i="13"/>
  <c r="F362" i="13"/>
  <c r="K362" i="13"/>
  <c r="C362" i="13"/>
  <c r="D362" i="13"/>
  <c r="I362" i="13"/>
  <c r="E230" i="13"/>
  <c r="C230" i="13"/>
  <c r="E25" i="13"/>
  <c r="C25" i="13"/>
  <c r="E238" i="13"/>
  <c r="E141" i="13"/>
  <c r="C350" i="13"/>
  <c r="J350" i="13"/>
  <c r="I350" i="13"/>
  <c r="E350" i="13"/>
  <c r="H350" i="13"/>
  <c r="D350" i="13"/>
  <c r="F350" i="13"/>
  <c r="G350" i="13"/>
  <c r="K350" i="13"/>
  <c r="I302" i="13"/>
  <c r="H302" i="13"/>
  <c r="D302" i="13"/>
  <c r="K302" i="13"/>
  <c r="C302" i="13"/>
  <c r="E302" i="13"/>
  <c r="J302" i="13"/>
  <c r="F302" i="13"/>
  <c r="G302" i="13"/>
  <c r="C128" i="13"/>
  <c r="E128" i="13"/>
  <c r="C38" i="13"/>
  <c r="E38" i="13"/>
  <c r="C245" i="13"/>
  <c r="E245" i="13"/>
  <c r="E94" i="13"/>
  <c r="K279" i="13"/>
  <c r="C279" i="13"/>
  <c r="D279" i="13"/>
  <c r="I279" i="13"/>
  <c r="H279" i="13"/>
  <c r="F279" i="13"/>
  <c r="J279" i="13"/>
  <c r="E279" i="13"/>
  <c r="G279" i="13"/>
  <c r="C331" i="13"/>
  <c r="G331" i="13"/>
  <c r="F331" i="13"/>
  <c r="D331" i="13"/>
  <c r="H331" i="13"/>
  <c r="J331" i="13"/>
  <c r="I331" i="13"/>
  <c r="E331" i="13"/>
  <c r="K331" i="13"/>
  <c r="D16" i="2"/>
  <c r="I254" i="13"/>
  <c r="G254" i="13"/>
  <c r="F254" i="13"/>
  <c r="H254" i="13"/>
  <c r="C254" i="13"/>
  <c r="K254" i="13"/>
  <c r="E254" i="13"/>
  <c r="J254" i="13"/>
  <c r="D254" i="13"/>
  <c r="E110" i="13"/>
  <c r="E201" i="13"/>
  <c r="C201" i="13"/>
  <c r="I264" i="13"/>
  <c r="D264" i="13"/>
  <c r="J264" i="13"/>
  <c r="C264" i="13"/>
  <c r="E264" i="13"/>
  <c r="G264" i="13"/>
  <c r="F264" i="13"/>
  <c r="K264" i="13"/>
  <c r="H264" i="13"/>
  <c r="E21" i="13"/>
  <c r="C21" i="13"/>
  <c r="E189" i="13"/>
  <c r="C189" i="13"/>
  <c r="E95" i="13"/>
  <c r="H326" i="13"/>
  <c r="J326" i="13"/>
  <c r="F326" i="13"/>
  <c r="E326" i="13"/>
  <c r="C326" i="13"/>
  <c r="D326" i="13"/>
  <c r="I326" i="13"/>
  <c r="G326" i="13"/>
  <c r="K326" i="13"/>
  <c r="C337" i="13"/>
  <c r="J337" i="13"/>
  <c r="D337" i="13"/>
  <c r="H337" i="13"/>
  <c r="F337" i="13"/>
  <c r="E337" i="13"/>
  <c r="G337" i="13"/>
  <c r="I337" i="13"/>
  <c r="K337" i="13"/>
  <c r="E136" i="13"/>
  <c r="C136" i="13"/>
  <c r="E228" i="13"/>
  <c r="C228" i="13"/>
  <c r="E119" i="13"/>
  <c r="C119" i="13"/>
  <c r="E206" i="13"/>
  <c r="C206" i="13"/>
  <c r="C203" i="13"/>
  <c r="E203" i="13"/>
  <c r="E125" i="13"/>
  <c r="E233" i="13"/>
  <c r="E137" i="13"/>
  <c r="H309" i="13"/>
  <c r="I309" i="13"/>
  <c r="F309" i="13"/>
  <c r="C309" i="13"/>
  <c r="J309" i="13"/>
  <c r="D309" i="13"/>
  <c r="E309" i="13"/>
  <c r="K309" i="13"/>
  <c r="G309" i="13"/>
  <c r="I290" i="13"/>
  <c r="D290" i="13"/>
  <c r="H290" i="13"/>
  <c r="F290" i="13"/>
  <c r="J290" i="13"/>
  <c r="C290" i="13"/>
  <c r="E290" i="13"/>
  <c r="G290" i="13"/>
  <c r="K290" i="13"/>
  <c r="E240" i="13"/>
  <c r="C240" i="13"/>
  <c r="E162" i="13"/>
  <c r="C162" i="13"/>
  <c r="E229" i="13"/>
  <c r="C229" i="13"/>
  <c r="C50" i="13"/>
  <c r="E50" i="13"/>
  <c r="E222" i="13"/>
  <c r="E70" i="13"/>
  <c r="E68" i="13"/>
  <c r="C68" i="13"/>
  <c r="C101" i="13"/>
  <c r="E101" i="13"/>
  <c r="K339" i="13"/>
  <c r="C339" i="13"/>
  <c r="G339" i="13"/>
  <c r="I339" i="13"/>
  <c r="D339" i="13"/>
  <c r="E339" i="13"/>
  <c r="H339" i="13"/>
  <c r="J339" i="13"/>
  <c r="F339" i="13"/>
  <c r="E145" i="13"/>
  <c r="C145" i="13"/>
  <c r="E44" i="13"/>
  <c r="E204" i="13"/>
  <c r="C200" i="13"/>
  <c r="E200" i="13"/>
  <c r="C289" i="13"/>
  <c r="J289" i="13"/>
  <c r="I289" i="13"/>
  <c r="G289" i="13"/>
  <c r="D289" i="13"/>
  <c r="F289" i="13"/>
  <c r="H289" i="13"/>
  <c r="E289" i="13"/>
  <c r="K289" i="13"/>
  <c r="H313" i="13"/>
  <c r="F313" i="13"/>
  <c r="K313" i="13"/>
  <c r="I313" i="13"/>
  <c r="C313" i="13"/>
  <c r="J313" i="13"/>
  <c r="G313" i="13"/>
  <c r="E313" i="13"/>
  <c r="D313" i="13"/>
  <c r="C108" i="13"/>
  <c r="E108" i="13"/>
  <c r="E74" i="13"/>
  <c r="E182" i="13"/>
  <c r="C182" i="13"/>
  <c r="E298" i="13"/>
  <c r="C298" i="13"/>
  <c r="D298" i="13"/>
  <c r="K298" i="13"/>
  <c r="F298" i="13"/>
  <c r="I298" i="13"/>
  <c r="H298" i="13"/>
  <c r="J298" i="13"/>
  <c r="G298" i="13"/>
  <c r="C161" i="13"/>
  <c r="E161" i="13"/>
  <c r="E197" i="13"/>
  <c r="C197" i="13"/>
  <c r="C163" i="13"/>
  <c r="E163" i="13"/>
  <c r="E156" i="13"/>
  <c r="C156" i="13"/>
  <c r="C175" i="13"/>
  <c r="E175" i="13"/>
  <c r="E150" i="13"/>
  <c r="E65" i="13"/>
  <c r="E250" i="13"/>
  <c r="E166" i="13"/>
  <c r="C120" i="13"/>
  <c r="E120" i="13"/>
  <c r="C215" i="13"/>
  <c r="E215" i="13"/>
  <c r="I287" i="13"/>
  <c r="D287" i="13"/>
  <c r="J287" i="13"/>
  <c r="H287" i="13"/>
  <c r="E287" i="13"/>
  <c r="G287" i="13"/>
  <c r="F287" i="13"/>
  <c r="K287" i="13"/>
  <c r="C287" i="13"/>
  <c r="H272" i="13"/>
  <c r="E272" i="13"/>
  <c r="G272" i="13"/>
  <c r="J272" i="13"/>
  <c r="C272" i="13"/>
  <c r="K272" i="13"/>
  <c r="F272" i="13"/>
  <c r="I272" i="13"/>
  <c r="D272" i="13"/>
  <c r="E192" i="13"/>
  <c r="C192" i="13"/>
  <c r="E252" i="13"/>
  <c r="C252" i="13"/>
  <c r="C236" i="13"/>
  <c r="E236" i="13"/>
  <c r="K274" i="13"/>
  <c r="D274" i="13"/>
  <c r="E274" i="13"/>
  <c r="G274" i="13"/>
  <c r="J274" i="13"/>
  <c r="F274" i="13"/>
  <c r="I274" i="13"/>
  <c r="C274" i="13"/>
  <c r="H274" i="13"/>
  <c r="K360" i="13"/>
  <c r="D360" i="13"/>
  <c r="G360" i="13"/>
  <c r="H360" i="13"/>
  <c r="F360" i="13"/>
  <c r="C360" i="13"/>
  <c r="I360" i="13"/>
  <c r="E360" i="13"/>
  <c r="J360" i="13"/>
  <c r="E220" i="13"/>
  <c r="C220" i="13"/>
  <c r="D299" i="13"/>
  <c r="F299" i="13"/>
  <c r="C299" i="13"/>
  <c r="H299" i="13"/>
  <c r="E299" i="13"/>
  <c r="J299" i="13"/>
  <c r="K299" i="13"/>
  <c r="I299" i="13"/>
  <c r="G299" i="13"/>
  <c r="E154" i="13"/>
  <c r="C154" i="13"/>
  <c r="E96" i="13"/>
  <c r="E172" i="13"/>
  <c r="K321" i="13"/>
  <c r="E321" i="13"/>
  <c r="H321" i="13"/>
  <c r="I321" i="13"/>
  <c r="J321" i="13"/>
  <c r="G321" i="13"/>
  <c r="D321" i="13"/>
  <c r="C321" i="13"/>
  <c r="F321" i="13"/>
  <c r="J305" i="13"/>
  <c r="G305" i="13"/>
  <c r="C305" i="13"/>
  <c r="K305" i="13"/>
  <c r="D305" i="13"/>
  <c r="I305" i="13"/>
  <c r="H305" i="13"/>
  <c r="E305" i="13"/>
  <c r="F305" i="13"/>
  <c r="E111" i="13"/>
  <c r="C111" i="13"/>
  <c r="C72" i="13"/>
  <c r="E72" i="13"/>
  <c r="C59" i="13"/>
  <c r="E59" i="13"/>
  <c r="C64" i="13"/>
  <c r="E64" i="13"/>
  <c r="E211" i="13"/>
  <c r="E83" i="13"/>
  <c r="J261" i="13"/>
  <c r="H261" i="13"/>
  <c r="C261" i="13"/>
  <c r="G261" i="13"/>
  <c r="D261" i="13"/>
  <c r="K261" i="13"/>
  <c r="I261" i="13"/>
  <c r="E261" i="13"/>
  <c r="F261" i="13"/>
  <c r="D351" i="13"/>
  <c r="J351" i="13"/>
  <c r="F351" i="13"/>
  <c r="K351" i="13"/>
  <c r="H351" i="13"/>
  <c r="E351" i="13"/>
  <c r="C351" i="13"/>
  <c r="G351" i="13"/>
  <c r="I351" i="13"/>
  <c r="E317" i="13"/>
  <c r="I317" i="13"/>
  <c r="J317" i="13"/>
  <c r="H317" i="13"/>
  <c r="G317" i="13"/>
  <c r="F317" i="13"/>
  <c r="D317" i="13"/>
  <c r="C317" i="13"/>
  <c r="K317" i="13"/>
  <c r="E37" i="13"/>
  <c r="C37" i="13"/>
  <c r="G349" i="13"/>
  <c r="K349" i="13"/>
  <c r="D349" i="13"/>
  <c r="H349" i="13"/>
  <c r="E349" i="13"/>
  <c r="C349" i="13"/>
  <c r="F349" i="13"/>
  <c r="I349" i="13"/>
  <c r="J349" i="13"/>
  <c r="I338" i="13"/>
  <c r="G338" i="13"/>
  <c r="J338" i="13"/>
  <c r="K338" i="13"/>
  <c r="E338" i="13"/>
  <c r="H338" i="13"/>
  <c r="C338" i="13"/>
  <c r="D338" i="13"/>
  <c r="F338" i="13"/>
  <c r="I365" i="13"/>
  <c r="F365" i="13"/>
  <c r="G365" i="13"/>
  <c r="H365" i="13"/>
  <c r="E365" i="13"/>
  <c r="K365" i="13"/>
  <c r="D365" i="13"/>
  <c r="C365" i="13"/>
  <c r="J365" i="13"/>
  <c r="E24" i="13"/>
  <c r="C24" i="13"/>
  <c r="E43" i="13"/>
  <c r="E77" i="13"/>
  <c r="E103" i="13"/>
  <c r="C217" i="13"/>
  <c r="E217" i="13"/>
  <c r="F346" i="13"/>
  <c r="H346" i="13"/>
  <c r="K346" i="13"/>
  <c r="E346" i="13"/>
  <c r="D346" i="13"/>
  <c r="I346" i="13"/>
  <c r="G346" i="13"/>
  <c r="C346" i="13"/>
  <c r="J346" i="13"/>
  <c r="C81" i="13"/>
  <c r="E81" i="13"/>
  <c r="E134" i="13"/>
  <c r="C134" i="13"/>
  <c r="C169" i="13"/>
  <c r="E169" i="13"/>
  <c r="K342" i="13"/>
  <c r="G342" i="13"/>
  <c r="D342" i="13"/>
  <c r="F342" i="13"/>
  <c r="C342" i="13"/>
  <c r="H342" i="13"/>
  <c r="E342" i="13"/>
  <c r="J342" i="13"/>
  <c r="I342" i="13"/>
  <c r="K347" i="13"/>
  <c r="E347" i="13"/>
  <c r="I347" i="13"/>
  <c r="C347" i="13"/>
  <c r="D347" i="13"/>
  <c r="H347" i="13"/>
  <c r="F347" i="13"/>
  <c r="G347" i="13"/>
  <c r="J347" i="13"/>
  <c r="C118" i="13"/>
  <c r="E118" i="13"/>
  <c r="E195" i="13"/>
  <c r="C195" i="13"/>
  <c r="K278" i="13"/>
  <c r="E278" i="13"/>
  <c r="J278" i="13"/>
  <c r="G278" i="13"/>
  <c r="H278" i="13"/>
  <c r="C278" i="13"/>
  <c r="D278" i="13"/>
  <c r="I278" i="13"/>
  <c r="F278" i="13"/>
  <c r="C46" i="13"/>
  <c r="E46" i="13"/>
  <c r="E208" i="13"/>
  <c r="C208" i="13"/>
  <c r="E370" i="13"/>
  <c r="F370" i="13"/>
  <c r="H370" i="13"/>
  <c r="I370" i="13"/>
  <c r="J370" i="13"/>
  <c r="G370" i="13"/>
  <c r="C370" i="13"/>
  <c r="K370" i="13"/>
  <c r="D370" i="13"/>
  <c r="C177" i="13"/>
  <c r="E177" i="13"/>
  <c r="C58" i="13"/>
  <c r="E58" i="13"/>
  <c r="G16" i="2"/>
  <c r="G17" i="2" s="1"/>
  <c r="C97" i="13"/>
  <c r="E97" i="13"/>
  <c r="E180" i="13"/>
  <c r="C253" i="13"/>
  <c r="E253" i="13"/>
  <c r="C221" i="13"/>
  <c r="E221" i="13"/>
  <c r="F344" i="13"/>
  <c r="H344" i="13"/>
  <c r="E344" i="13"/>
  <c r="K344" i="13"/>
  <c r="J344" i="13"/>
  <c r="I344" i="13"/>
  <c r="C344" i="13"/>
  <c r="G344" i="13"/>
  <c r="D344" i="13"/>
  <c r="C170" i="13"/>
  <c r="E170" i="13"/>
  <c r="C164" i="13"/>
  <c r="E164" i="13"/>
  <c r="E207" i="13"/>
  <c r="C207" i="13"/>
  <c r="I303" i="13"/>
  <c r="C303" i="13"/>
  <c r="G303" i="13"/>
  <c r="E303" i="13"/>
  <c r="J303" i="13"/>
  <c r="H303" i="13"/>
  <c r="D303" i="13"/>
  <c r="F303" i="13"/>
  <c r="K303" i="13"/>
  <c r="C218" i="13"/>
  <c r="E218" i="13"/>
  <c r="E112" i="13"/>
  <c r="C112" i="13"/>
  <c r="C187" i="13"/>
  <c r="E187" i="13"/>
  <c r="E27" i="13"/>
  <c r="E30" i="13"/>
  <c r="C78" i="13"/>
  <c r="E78" i="13"/>
  <c r="I318" i="13"/>
  <c r="H318" i="13"/>
  <c r="D318" i="13"/>
  <c r="J318" i="13"/>
  <c r="E318" i="13"/>
  <c r="G318" i="13"/>
  <c r="K318" i="13"/>
  <c r="C318" i="13"/>
  <c r="F318" i="13"/>
  <c r="C84" i="13"/>
  <c r="E84" i="13"/>
  <c r="C198" i="13"/>
  <c r="E198" i="13"/>
  <c r="E244" i="13"/>
  <c r="C244" i="13"/>
  <c r="E183" i="13"/>
  <c r="C183" i="13"/>
  <c r="C67" i="13"/>
  <c r="E67" i="13"/>
  <c r="E176" i="13"/>
  <c r="C176" i="13"/>
  <c r="C60" i="13"/>
  <c r="E60" i="13"/>
  <c r="E185" i="13"/>
  <c r="C185" i="13"/>
  <c r="C213" i="13"/>
  <c r="E213" i="13"/>
  <c r="K293" i="13"/>
  <c r="I293" i="13"/>
  <c r="E293" i="13"/>
  <c r="C293" i="13"/>
  <c r="H293" i="13"/>
  <c r="D293" i="13"/>
  <c r="G293" i="13"/>
  <c r="F293" i="13"/>
  <c r="J293" i="13"/>
  <c r="J310" i="13"/>
  <c r="E310" i="13"/>
  <c r="K310" i="13"/>
  <c r="I310" i="13"/>
  <c r="C310" i="13"/>
  <c r="H310" i="13"/>
  <c r="D310" i="13"/>
  <c r="F310" i="13"/>
  <c r="G310" i="13"/>
  <c r="C79" i="13"/>
  <c r="E79" i="13"/>
  <c r="E100" i="13"/>
  <c r="C100" i="13"/>
  <c r="H369" i="13"/>
  <c r="C369" i="13"/>
  <c r="F369" i="13"/>
  <c r="D369" i="13"/>
  <c r="G369" i="13"/>
  <c r="J369" i="13"/>
  <c r="K369" i="13"/>
  <c r="E369" i="13"/>
  <c r="I369" i="13"/>
  <c r="K271" i="13"/>
  <c r="F271" i="13"/>
  <c r="H271" i="13"/>
  <c r="E271" i="13"/>
  <c r="D271" i="13"/>
  <c r="C271" i="13"/>
  <c r="J271" i="13"/>
  <c r="I271" i="13"/>
  <c r="G271" i="13"/>
  <c r="C34" i="13"/>
  <c r="E34" i="13"/>
  <c r="C76" i="13"/>
  <c r="E76" i="13"/>
  <c r="D307" i="13"/>
  <c r="G307" i="13"/>
  <c r="K307" i="13"/>
  <c r="E307" i="13"/>
  <c r="J307" i="13"/>
  <c r="C307" i="13"/>
  <c r="F307" i="13"/>
  <c r="H307" i="13"/>
  <c r="I307" i="13"/>
  <c r="F371" i="13"/>
  <c r="H371" i="13"/>
  <c r="D371" i="13"/>
  <c r="E371" i="13"/>
  <c r="J371" i="13"/>
  <c r="C371" i="13"/>
  <c r="I371" i="13"/>
  <c r="K371" i="13"/>
  <c r="G371" i="13"/>
  <c r="E190" i="13"/>
  <c r="E41" i="13"/>
  <c r="E181" i="13"/>
  <c r="H316" i="13"/>
  <c r="J316" i="13"/>
  <c r="K316" i="13"/>
  <c r="I316" i="13"/>
  <c r="G316" i="13"/>
  <c r="F316" i="13"/>
  <c r="D316" i="13"/>
  <c r="C316" i="13"/>
  <c r="E316" i="13"/>
  <c r="F304" i="13"/>
  <c r="K304" i="13"/>
  <c r="H304" i="13"/>
  <c r="E304" i="13"/>
  <c r="C304" i="13"/>
  <c r="J304" i="13"/>
  <c r="D304" i="13"/>
  <c r="G304" i="13"/>
  <c r="I304" i="13"/>
  <c r="E226" i="13"/>
  <c r="C226" i="13"/>
  <c r="E171" i="13"/>
  <c r="C171" i="13"/>
  <c r="K323" i="13"/>
  <c r="I323" i="13"/>
  <c r="D323" i="13"/>
  <c r="G323" i="13"/>
  <c r="H323" i="13"/>
  <c r="E323" i="13"/>
  <c r="C323" i="13"/>
  <c r="J323" i="13"/>
  <c r="F323" i="13"/>
  <c r="C85" i="13"/>
  <c r="E85" i="13"/>
  <c r="D373" i="13"/>
  <c r="C373" i="13"/>
  <c r="E373" i="13"/>
  <c r="I373" i="13"/>
  <c r="G373" i="13"/>
  <c r="J373" i="13"/>
  <c r="H373" i="13"/>
  <c r="F373" i="13"/>
  <c r="K373" i="13"/>
  <c r="C165" i="13"/>
  <c r="E165" i="13"/>
  <c r="J256" i="13"/>
  <c r="D256" i="13"/>
  <c r="G256" i="13"/>
  <c r="I256" i="13"/>
  <c r="E256" i="13"/>
  <c r="K256" i="13"/>
  <c r="H256" i="13"/>
  <c r="C256" i="13"/>
  <c r="F256" i="13"/>
  <c r="C267" i="13"/>
  <c r="E267" i="13"/>
  <c r="K267" i="13"/>
  <c r="J267" i="13"/>
  <c r="D267" i="13"/>
  <c r="I267" i="13"/>
  <c r="G267" i="13"/>
  <c r="H267" i="13"/>
  <c r="F267" i="13"/>
  <c r="C179" i="13"/>
  <c r="E179" i="13"/>
  <c r="C126" i="13"/>
  <c r="E126" i="13"/>
  <c r="C104" i="13"/>
  <c r="E104" i="13"/>
  <c r="E66" i="13"/>
  <c r="K352" i="13"/>
  <c r="C352" i="13"/>
  <c r="H352" i="13"/>
  <c r="J352" i="13"/>
  <c r="I352" i="13"/>
  <c r="G352" i="13"/>
  <c r="D352" i="13"/>
  <c r="E352" i="13"/>
  <c r="F352" i="13"/>
  <c r="Q20" i="1"/>
  <c r="E148" i="13"/>
  <c r="C148" i="13"/>
  <c r="E202" i="13"/>
  <c r="E152" i="13"/>
  <c r="C73" i="13"/>
  <c r="E73" i="13"/>
  <c r="C114" i="13"/>
  <c r="E114" i="13"/>
  <c r="C241" i="13"/>
  <c r="E241" i="13"/>
  <c r="D359" i="13"/>
  <c r="F359" i="13"/>
  <c r="E359" i="13"/>
  <c r="H359" i="13"/>
  <c r="K359" i="13"/>
  <c r="C359" i="13"/>
  <c r="I359" i="13"/>
  <c r="J359" i="13"/>
  <c r="G359" i="13"/>
  <c r="E168" i="13"/>
  <c r="E23" i="13"/>
  <c r="E29" i="13"/>
  <c r="C29" i="13"/>
  <c r="E196" i="13"/>
  <c r="C196" i="13"/>
  <c r="C107" i="13"/>
  <c r="E107" i="13"/>
  <c r="C273" i="13"/>
  <c r="E273" i="13"/>
  <c r="G273" i="13"/>
  <c r="I273" i="13"/>
  <c r="F273" i="13"/>
  <c r="D273" i="13"/>
  <c r="J273" i="13"/>
  <c r="H273" i="13"/>
  <c r="K273" i="13"/>
  <c r="H275" i="13"/>
  <c r="E275" i="13"/>
  <c r="I275" i="13"/>
  <c r="C275" i="13"/>
  <c r="K275" i="13"/>
  <c r="D275" i="13"/>
  <c r="F275" i="13"/>
  <c r="G275" i="13"/>
  <c r="J275" i="13"/>
  <c r="F315" i="13"/>
  <c r="G315" i="13"/>
  <c r="C315" i="13"/>
  <c r="J315" i="13"/>
  <c r="E315" i="13"/>
  <c r="I315" i="13"/>
  <c r="K315" i="13"/>
  <c r="H315" i="13"/>
  <c r="D315" i="13"/>
  <c r="C153" i="13"/>
  <c r="E153" i="13"/>
  <c r="E105" i="13"/>
  <c r="C105" i="13"/>
  <c r="E56" i="13"/>
  <c r="C45" i="13"/>
  <c r="E45" i="13"/>
  <c r="I341" i="13"/>
  <c r="J341" i="13"/>
  <c r="C341" i="13"/>
  <c r="D341" i="13"/>
  <c r="F341" i="13"/>
  <c r="H341" i="13"/>
  <c r="K341" i="13"/>
  <c r="G341" i="13"/>
  <c r="E341" i="13"/>
  <c r="E47" i="13"/>
  <c r="C47" i="13"/>
  <c r="H361" i="13"/>
  <c r="D361" i="13"/>
  <c r="I361" i="13"/>
  <c r="F361" i="13"/>
  <c r="E361" i="13"/>
  <c r="G361" i="13"/>
  <c r="C361" i="13"/>
  <c r="K361" i="13"/>
  <c r="J361" i="13"/>
  <c r="E88" i="13"/>
  <c r="C88" i="13"/>
  <c r="C98" i="13"/>
  <c r="E98" i="13"/>
  <c r="C86" i="13"/>
  <c r="E86" i="13"/>
  <c r="E26" i="13"/>
  <c r="C106" i="13"/>
  <c r="E106" i="13"/>
  <c r="C288" i="13"/>
  <c r="I288" i="13"/>
  <c r="K288" i="13"/>
  <c r="H288" i="13"/>
  <c r="G288" i="13"/>
  <c r="E288" i="13"/>
  <c r="F288" i="13"/>
  <c r="J288" i="13"/>
  <c r="D288" i="13"/>
  <c r="E255" i="13"/>
  <c r="K255" i="13"/>
  <c r="G255" i="13"/>
  <c r="F255" i="13"/>
  <c r="C255" i="13"/>
  <c r="I255" i="13"/>
  <c r="D255" i="13"/>
  <c r="J255" i="13"/>
  <c r="H255" i="13"/>
  <c r="C146" i="13"/>
  <c r="E146" i="13"/>
  <c r="C69" i="13"/>
  <c r="E69" i="13"/>
  <c r="C28" i="13"/>
  <c r="E28" i="13"/>
  <c r="E132" i="13"/>
  <c r="E143" i="13"/>
  <c r="E191" i="13"/>
  <c r="C40" i="13"/>
  <c r="E40" i="13"/>
  <c r="C33" i="13"/>
  <c r="E33" i="13"/>
  <c r="G322" i="13"/>
  <c r="F322" i="13"/>
  <c r="D322" i="13"/>
  <c r="C322" i="13"/>
  <c r="K322" i="13"/>
  <c r="I322" i="13"/>
  <c r="H322" i="13"/>
  <c r="E322" i="13"/>
  <c r="J322" i="13"/>
  <c r="C54" i="13"/>
  <c r="E54" i="13"/>
  <c r="C116" i="13"/>
  <c r="E116" i="13"/>
  <c r="E93" i="13"/>
  <c r="C93" i="13"/>
  <c r="C31" i="13"/>
  <c r="E31" i="13"/>
  <c r="E242" i="13"/>
  <c r="J301" i="13"/>
  <c r="F301" i="13"/>
  <c r="K301" i="13"/>
  <c r="G301" i="13"/>
  <c r="D301" i="13"/>
  <c r="H301" i="13"/>
  <c r="I301" i="13"/>
  <c r="E301" i="13"/>
  <c r="C301" i="13"/>
  <c r="C167" i="13"/>
  <c r="E167" i="13"/>
  <c r="F306" i="13"/>
  <c r="J306" i="13"/>
  <c r="D306" i="13"/>
  <c r="G306" i="13"/>
  <c r="C306" i="13"/>
  <c r="I306" i="13"/>
  <c r="H306" i="13"/>
  <c r="E306" i="13"/>
  <c r="K306" i="13"/>
  <c r="C186" i="13"/>
  <c r="E186" i="13"/>
  <c r="E194" i="13"/>
  <c r="C194" i="13"/>
  <c r="E231" i="13"/>
  <c r="E158" i="13"/>
  <c r="E99" i="13"/>
  <c r="C335" i="13"/>
  <c r="G335" i="13"/>
  <c r="D335" i="13"/>
  <c r="I335" i="13"/>
  <c r="E335" i="13"/>
  <c r="F335" i="13"/>
  <c r="K335" i="13"/>
  <c r="J335" i="13"/>
  <c r="H335" i="13"/>
  <c r="G319" i="13"/>
  <c r="J319" i="13"/>
  <c r="E319" i="13"/>
  <c r="D319" i="13"/>
  <c r="F319" i="13"/>
  <c r="I319" i="13"/>
  <c r="C319" i="13"/>
  <c r="H319" i="13"/>
  <c r="K319" i="13"/>
  <c r="K367" i="13"/>
  <c r="G367" i="13"/>
  <c r="J367" i="13"/>
  <c r="E367" i="13"/>
  <c r="F367" i="13"/>
  <c r="C367" i="13"/>
  <c r="D367" i="13"/>
  <c r="I367" i="13"/>
  <c r="H367" i="13"/>
  <c r="E210" i="13"/>
  <c r="C210" i="13"/>
  <c r="C109" i="13"/>
  <c r="E109" i="13"/>
  <c r="E117" i="13"/>
  <c r="I332" i="13"/>
  <c r="K332" i="13"/>
  <c r="G332" i="13"/>
  <c r="J332" i="13"/>
  <c r="H332" i="13"/>
  <c r="F332" i="13"/>
  <c r="E332" i="13"/>
  <c r="D332" i="13"/>
  <c r="C332" i="13"/>
  <c r="C327" i="13"/>
  <c r="K327" i="13"/>
  <c r="J327" i="13"/>
  <c r="D327" i="13"/>
  <c r="E327" i="13"/>
  <c r="G327" i="13"/>
  <c r="F327" i="13"/>
  <c r="H327" i="13"/>
  <c r="I327" i="13"/>
  <c r="G368" i="13"/>
  <c r="J368" i="13"/>
  <c r="E368" i="13"/>
  <c r="H368" i="13"/>
  <c r="F368" i="13"/>
  <c r="D368" i="13"/>
  <c r="C368" i="13"/>
  <c r="K368" i="13"/>
  <c r="I368" i="13"/>
  <c r="C174" i="13"/>
  <c r="E174" i="13"/>
  <c r="C87" i="13"/>
  <c r="E87" i="13"/>
  <c r="C121" i="13"/>
  <c r="E121" i="13"/>
  <c r="E354" i="13"/>
  <c r="D354" i="13"/>
  <c r="F354" i="13"/>
  <c r="J354" i="13"/>
  <c r="C354" i="13"/>
  <c r="H354" i="13"/>
  <c r="K354" i="13"/>
  <c r="G354" i="13"/>
  <c r="I354" i="13"/>
  <c r="E232" i="13"/>
  <c r="C232" i="13"/>
  <c r="E249" i="13"/>
  <c r="H265" i="13"/>
  <c r="C265" i="13"/>
  <c r="I265" i="13"/>
  <c r="D265" i="13"/>
  <c r="J265" i="13"/>
  <c r="E265" i="13"/>
  <c r="F265" i="13"/>
  <c r="K265" i="13"/>
  <c r="G265" i="13"/>
  <c r="J330" i="13"/>
  <c r="C330" i="13"/>
  <c r="K330" i="13"/>
  <c r="G330" i="13"/>
  <c r="I330" i="13"/>
  <c r="F330" i="13"/>
  <c r="D330" i="13"/>
  <c r="H330" i="13"/>
  <c r="E330" i="13"/>
  <c r="J263" i="13"/>
  <c r="F263" i="13"/>
  <c r="H263" i="13"/>
  <c r="D263" i="13"/>
  <c r="I263" i="13"/>
  <c r="K263" i="13"/>
  <c r="G263" i="13"/>
  <c r="C263" i="13"/>
  <c r="E263" i="13"/>
  <c r="C131" i="13"/>
  <c r="E131" i="13"/>
  <c r="E234" i="13"/>
  <c r="C234" i="13"/>
  <c r="E139" i="13"/>
  <c r="C139" i="13"/>
  <c r="J308" i="13"/>
  <c r="E308" i="13"/>
  <c r="H308" i="13"/>
  <c r="D308" i="13"/>
  <c r="I308" i="13"/>
  <c r="G308" i="13"/>
  <c r="F308" i="13"/>
  <c r="K308" i="13"/>
  <c r="C308" i="13"/>
  <c r="G329" i="13"/>
  <c r="C329" i="13"/>
  <c r="J329" i="13"/>
  <c r="H329" i="13"/>
  <c r="K329" i="13"/>
  <c r="I329" i="13"/>
  <c r="E329" i="13"/>
  <c r="D329" i="13"/>
  <c r="F329" i="13"/>
  <c r="F280" i="13"/>
  <c r="H280" i="13"/>
  <c r="D280" i="13"/>
  <c r="I280" i="13"/>
  <c r="K280" i="13"/>
  <c r="C280" i="13"/>
  <c r="E280" i="13"/>
  <c r="J280" i="13"/>
  <c r="G280" i="13"/>
  <c r="C243" i="13"/>
  <c r="E243" i="13"/>
  <c r="E18" i="13"/>
  <c r="C18" i="13"/>
  <c r="C48" i="13"/>
  <c r="E48" i="13"/>
  <c r="I353" i="13"/>
  <c r="E353" i="13"/>
  <c r="K353" i="13"/>
  <c r="D353" i="13"/>
  <c r="C353" i="13"/>
  <c r="G353" i="13"/>
  <c r="J353" i="13"/>
  <c r="F353" i="13"/>
  <c r="H353" i="13"/>
  <c r="K257" i="13"/>
  <c r="H257" i="13"/>
  <c r="D257" i="13"/>
  <c r="F257" i="13"/>
  <c r="E257" i="13"/>
  <c r="G257" i="13"/>
  <c r="I257" i="13"/>
  <c r="C257" i="13"/>
  <c r="J257" i="13"/>
  <c r="C133" i="13"/>
  <c r="E133" i="13"/>
  <c r="C130" i="13"/>
  <c r="E130" i="13"/>
  <c r="C292" i="13"/>
  <c r="G292" i="13"/>
  <c r="I292" i="13"/>
  <c r="K292" i="13"/>
  <c r="H292" i="13"/>
  <c r="D292" i="13"/>
  <c r="J292" i="13"/>
  <c r="F292" i="13"/>
  <c r="E292" i="13"/>
  <c r="C55" i="13"/>
  <c r="E55" i="13"/>
  <c r="C90" i="13"/>
  <c r="E90" i="13"/>
  <c r="E57" i="13"/>
  <c r="C155" i="13"/>
  <c r="E155" i="13"/>
  <c r="C15" i="13"/>
  <c r="E15" i="13"/>
  <c r="H357" i="13"/>
  <c r="C357" i="13"/>
  <c r="E357" i="13"/>
  <c r="D357" i="13"/>
  <c r="G357" i="13"/>
  <c r="I357" i="13"/>
  <c r="F357" i="13"/>
  <c r="J357" i="13"/>
  <c r="K357" i="13"/>
  <c r="C19" i="13"/>
  <c r="E19" i="13"/>
  <c r="E124" i="13"/>
  <c r="C124" i="13"/>
  <c r="C300" i="13"/>
  <c r="E300" i="13"/>
  <c r="J300" i="13"/>
  <c r="I300" i="13"/>
  <c r="K300" i="13"/>
  <c r="D300" i="13"/>
  <c r="G300" i="13"/>
  <c r="F300" i="13"/>
  <c r="H300" i="13"/>
  <c r="E61" i="13"/>
  <c r="C61" i="13"/>
  <c r="E80" i="13"/>
  <c r="C80" i="13"/>
  <c r="E82" i="13"/>
  <c r="C82" i="13"/>
  <c r="E223" i="13"/>
  <c r="C223" i="13"/>
  <c r="E147" i="13"/>
  <c r="C212" i="13"/>
  <c r="E212" i="13"/>
  <c r="F328" i="13"/>
  <c r="E328" i="13"/>
  <c r="I328" i="13"/>
  <c r="D328" i="13"/>
  <c r="C328" i="13"/>
  <c r="K328" i="13"/>
  <c r="J328" i="13"/>
  <c r="G328" i="13"/>
  <c r="H328" i="13"/>
  <c r="H312" i="13"/>
  <c r="E312" i="13"/>
  <c r="I312" i="13"/>
  <c r="J312" i="13"/>
  <c r="D312" i="13"/>
  <c r="C312" i="13"/>
  <c r="K312" i="13"/>
  <c r="G312" i="13"/>
  <c r="F312" i="13"/>
  <c r="E35" i="13"/>
  <c r="C35" i="13"/>
  <c r="C227" i="13"/>
  <c r="E227" i="13"/>
  <c r="E160" i="13"/>
  <c r="C160" i="13"/>
  <c r="G268" i="13"/>
  <c r="K268" i="13"/>
  <c r="J268" i="13"/>
  <c r="E268" i="13"/>
  <c r="I268" i="13"/>
  <c r="H268" i="13"/>
  <c r="C268" i="13"/>
  <c r="F268" i="13"/>
  <c r="D268" i="13"/>
  <c r="C127" i="13"/>
  <c r="E127" i="13"/>
  <c r="C16" i="13"/>
  <c r="E16" i="13"/>
  <c r="E209" i="13"/>
  <c r="C209" i="13"/>
  <c r="I325" i="13"/>
  <c r="H325" i="13"/>
  <c r="J325" i="13"/>
  <c r="C325" i="13"/>
  <c r="D325" i="13"/>
  <c r="K325" i="13"/>
  <c r="G325" i="13"/>
  <c r="F325" i="13"/>
  <c r="E325" i="13"/>
  <c r="G262" i="13"/>
  <c r="I262" i="13"/>
  <c r="C262" i="13"/>
  <c r="H262" i="13"/>
  <c r="J262" i="13"/>
  <c r="E262" i="13"/>
  <c r="F262" i="13"/>
  <c r="K262" i="13"/>
  <c r="D262" i="13"/>
  <c r="G343" i="13"/>
  <c r="K343" i="13"/>
  <c r="E343" i="13"/>
  <c r="I343" i="13"/>
  <c r="J343" i="13"/>
  <c r="D343" i="13"/>
  <c r="F343" i="13"/>
  <c r="C343" i="13"/>
  <c r="H343" i="13"/>
  <c r="H345" i="13"/>
  <c r="K345" i="13"/>
  <c r="D345" i="13"/>
  <c r="E345" i="13"/>
  <c r="C345" i="13"/>
  <c r="F345" i="13"/>
  <c r="I345" i="13"/>
  <c r="J345" i="13"/>
  <c r="G345" i="13"/>
  <c r="C129" i="13"/>
  <c r="E129" i="13"/>
  <c r="C184" i="13"/>
  <c r="E184" i="13"/>
  <c r="C178" i="13"/>
  <c r="E178" i="13"/>
  <c r="Q8" i="1"/>
  <c r="J10" i="2" s="1"/>
  <c r="Q9" i="1"/>
  <c r="N11" i="1"/>
  <c r="N14" i="1"/>
  <c r="G366" i="13"/>
  <c r="K366" i="13"/>
  <c r="H366" i="13"/>
  <c r="F366" i="13"/>
  <c r="J366" i="13"/>
  <c r="I366" i="13"/>
  <c r="C366" i="13"/>
  <c r="E366" i="13"/>
  <c r="D366" i="13"/>
  <c r="C247" i="13"/>
  <c r="E247" i="13"/>
  <c r="E75" i="13"/>
  <c r="C75" i="13"/>
  <c r="C151" i="13"/>
  <c r="E151" i="13"/>
  <c r="C71" i="13"/>
  <c r="E71" i="13"/>
  <c r="E216" i="13"/>
  <c r="C216" i="13"/>
  <c r="G260" i="13"/>
  <c r="D260" i="13"/>
  <c r="H260" i="13"/>
  <c r="K260" i="13"/>
  <c r="I260" i="13"/>
  <c r="C260" i="13"/>
  <c r="F260" i="13"/>
  <c r="E260" i="13"/>
  <c r="J260" i="13"/>
  <c r="E205" i="13"/>
  <c r="C205" i="13"/>
  <c r="C42" i="13"/>
  <c r="E42" i="13"/>
  <c r="E246" i="13"/>
  <c r="C246" i="13"/>
  <c r="C53" i="13"/>
  <c r="E53" i="13"/>
  <c r="E199" i="13"/>
  <c r="C199" i="13"/>
  <c r="E92" i="13"/>
  <c r="C336" i="13"/>
  <c r="F336" i="13"/>
  <c r="J336" i="13"/>
  <c r="I336" i="13"/>
  <c r="K336" i="13"/>
  <c r="D336" i="13"/>
  <c r="G336" i="13"/>
  <c r="E336" i="13"/>
  <c r="H336" i="13"/>
  <c r="J297" i="13"/>
  <c r="F297" i="13"/>
  <c r="D297" i="13"/>
  <c r="K297" i="13"/>
  <c r="I297" i="13"/>
  <c r="C297" i="13"/>
  <c r="E297" i="13"/>
  <c r="H297" i="13"/>
  <c r="G297" i="13"/>
  <c r="E219" i="13"/>
  <c r="C219" i="13"/>
  <c r="E115" i="13"/>
  <c r="C115" i="13"/>
  <c r="F270" i="13"/>
  <c r="C270" i="13"/>
  <c r="J270" i="13"/>
  <c r="G270" i="13"/>
  <c r="D270" i="13"/>
  <c r="I270" i="13"/>
  <c r="E270" i="13"/>
  <c r="H270" i="13"/>
  <c r="K270" i="13"/>
  <c r="E251" i="13"/>
  <c r="E149" i="13"/>
  <c r="G340" i="13"/>
  <c r="C340" i="13"/>
  <c r="K340" i="13"/>
  <c r="J340" i="13"/>
  <c r="I340" i="13"/>
  <c r="F340" i="13"/>
  <c r="E340" i="13"/>
  <c r="H340" i="13"/>
  <c r="D340" i="13"/>
  <c r="C63" i="13"/>
  <c r="E63" i="13"/>
  <c r="I333" i="13"/>
  <c r="G333" i="13"/>
  <c r="J333" i="13"/>
  <c r="K333" i="13"/>
  <c r="H333" i="13"/>
  <c r="C333" i="13"/>
  <c r="E333" i="13"/>
  <c r="F333" i="13"/>
  <c r="D333" i="13"/>
  <c r="E173" i="13"/>
  <c r="C173" i="13"/>
  <c r="D291" i="13"/>
  <c r="G291" i="13"/>
  <c r="E291" i="13"/>
  <c r="H291" i="13"/>
  <c r="J291" i="13"/>
  <c r="C291" i="13"/>
  <c r="K291" i="13"/>
  <c r="I291" i="13"/>
  <c r="F291" i="13"/>
  <c r="K355" i="13"/>
  <c r="E355" i="13"/>
  <c r="G355" i="13"/>
  <c r="J355" i="13"/>
  <c r="H355" i="13"/>
  <c r="I355" i="13"/>
  <c r="D355" i="13"/>
  <c r="F355" i="13"/>
  <c r="C355" i="13"/>
  <c r="E135" i="13"/>
  <c r="C135" i="13"/>
  <c r="C295" i="13"/>
  <c r="I295" i="13"/>
  <c r="E295" i="13"/>
  <c r="J295" i="13"/>
  <c r="F295" i="13"/>
  <c r="G295" i="13"/>
  <c r="D295" i="13"/>
  <c r="H295" i="13"/>
  <c r="K295" i="13"/>
  <c r="C39" i="13"/>
  <c r="E39" i="13"/>
  <c r="C140" i="13"/>
  <c r="E140" i="13"/>
  <c r="E188" i="13"/>
  <c r="C188" i="13"/>
  <c r="K372" i="13"/>
  <c r="G372" i="13"/>
  <c r="D372" i="13"/>
  <c r="C372" i="13"/>
  <c r="F372" i="13"/>
  <c r="J372" i="13"/>
  <c r="H372" i="13"/>
  <c r="I372" i="13"/>
  <c r="E372" i="13"/>
  <c r="E102" i="13"/>
  <c r="N15" i="1" l="1"/>
  <c r="J15" i="2" s="1"/>
  <c r="J24" i="2" s="1"/>
  <c r="F14" i="13"/>
  <c r="G14" i="13" s="1"/>
  <c r="H14" i="13" s="1"/>
  <c r="J14" i="13" s="1"/>
  <c r="Q24" i="1"/>
  <c r="Q26" i="1" s="1"/>
  <c r="K14" i="13"/>
  <c r="Q10" i="1" l="1"/>
  <c r="D15" i="13"/>
  <c r="N16" i="1"/>
  <c r="J16" i="2" s="1"/>
  <c r="Q16" i="1"/>
  <c r="Q17" i="1" s="1"/>
  <c r="J17" i="2" s="1"/>
  <c r="J20" i="2" s="1"/>
  <c r="J25" i="2" l="1"/>
  <c r="I15" i="13"/>
  <c r="F15" i="13"/>
  <c r="G15" i="13" l="1"/>
  <c r="H15" i="13" s="1"/>
  <c r="K15" i="13"/>
  <c r="J15" i="13" l="1"/>
  <c r="D16" i="13" l="1"/>
  <c r="I16" i="13" l="1"/>
  <c r="F16" i="13"/>
  <c r="G16" i="13" l="1"/>
  <c r="H16" i="13" s="1"/>
  <c r="J16" i="13" s="1"/>
  <c r="K16" i="13"/>
  <c r="D17" i="13" l="1"/>
  <c r="I17" i="13" l="1"/>
  <c r="F17" i="13"/>
  <c r="G17" i="13" l="1"/>
  <c r="H17" i="13" s="1"/>
  <c r="J17" i="13" s="1"/>
  <c r="K17" i="13"/>
  <c r="D18" i="13" l="1"/>
  <c r="I18" i="13" l="1"/>
  <c r="F18" i="13"/>
  <c r="G18" i="13" l="1"/>
  <c r="H18" i="13" s="1"/>
  <c r="J18" i="13" s="1"/>
  <c r="D19" i="13" s="1"/>
  <c r="K18" i="13"/>
  <c r="I19" i="13" l="1"/>
  <c r="K19" i="13" s="1"/>
  <c r="F19" i="13"/>
  <c r="G19" i="13" l="1"/>
  <c r="H19" i="13" s="1"/>
  <c r="J19" i="13" s="1"/>
  <c r="D20" i="13" s="1"/>
  <c r="I20" i="13" l="1"/>
  <c r="K20" i="13" s="1"/>
  <c r="F20" i="13"/>
  <c r="G20" i="13" l="1"/>
  <c r="H20" i="13" s="1"/>
  <c r="J20" i="13" s="1"/>
  <c r="D21" i="13" s="1"/>
  <c r="F21" i="13" l="1"/>
  <c r="I21" i="13"/>
  <c r="K21" i="13" s="1"/>
  <c r="G21" i="13" l="1"/>
  <c r="H21" i="13" s="1"/>
  <c r="J21" i="13" s="1"/>
  <c r="D22" i="13" s="1"/>
  <c r="I22" i="13" l="1"/>
  <c r="K22" i="13" s="1"/>
  <c r="F22" i="13"/>
  <c r="G22" i="13" l="1"/>
  <c r="H22" i="13" s="1"/>
  <c r="J22" i="13" s="1"/>
  <c r="D23" i="13" s="1"/>
  <c r="I23" i="13" l="1"/>
  <c r="K23" i="13" s="1"/>
  <c r="F23" i="13"/>
  <c r="G23" i="13" l="1"/>
  <c r="H23" i="13" s="1"/>
  <c r="J23" i="13" s="1"/>
  <c r="D24" i="13" s="1"/>
  <c r="I24" i="13" l="1"/>
  <c r="K24" i="13" s="1"/>
  <c r="F24" i="13"/>
  <c r="G24" i="13" l="1"/>
  <c r="H24" i="13" s="1"/>
  <c r="J24" i="13" s="1"/>
  <c r="D25" i="13" s="1"/>
  <c r="I25" i="13" l="1"/>
  <c r="K25" i="13" s="1"/>
  <c r="F25" i="13"/>
  <c r="G25" i="13" l="1"/>
  <c r="H25" i="13" s="1"/>
  <c r="G6" i="13" s="1"/>
  <c r="N9" i="1" s="1"/>
  <c r="G9" i="2" s="1"/>
  <c r="J25" i="13" l="1"/>
  <c r="D26" i="13" s="1"/>
  <c r="I26" i="13" s="1"/>
  <c r="K26" i="13" s="1"/>
  <c r="F26" i="13" l="1"/>
  <c r="G26" i="13" s="1"/>
  <c r="H26" i="13" s="1"/>
  <c r="J26" i="13" s="1"/>
  <c r="D27" i="13" s="1"/>
  <c r="I27" i="13" l="1"/>
  <c r="K27" i="13" s="1"/>
  <c r="F27" i="13"/>
  <c r="G27" i="13" l="1"/>
  <c r="H27" i="13" s="1"/>
  <c r="J27" i="13" s="1"/>
  <c r="D28" i="13" s="1"/>
  <c r="I28" i="13" l="1"/>
  <c r="K28" i="13" s="1"/>
  <c r="F28" i="13"/>
  <c r="G28" i="13" l="1"/>
  <c r="H28" i="13" s="1"/>
  <c r="J28" i="13" s="1"/>
  <c r="D29" i="13" s="1"/>
  <c r="I29" i="13" l="1"/>
  <c r="K29" i="13" s="1"/>
  <c r="F29" i="13"/>
  <c r="G29" i="13" l="1"/>
  <c r="H29" i="13" s="1"/>
  <c r="J29" i="13" s="1"/>
  <c r="D30" i="13" s="1"/>
  <c r="I30" i="13" l="1"/>
  <c r="K30" i="13" s="1"/>
  <c r="F30" i="13"/>
  <c r="G30" i="13" l="1"/>
  <c r="H30" i="13" s="1"/>
  <c r="J30" i="13" s="1"/>
  <c r="D31" i="13" s="1"/>
  <c r="I31" i="13" l="1"/>
  <c r="K31" i="13" s="1"/>
  <c r="F31" i="13"/>
  <c r="G31" i="13" l="1"/>
  <c r="H31" i="13" s="1"/>
  <c r="J31" i="13" s="1"/>
  <c r="D32" i="13" s="1"/>
  <c r="F32" i="13" l="1"/>
  <c r="I32" i="13"/>
  <c r="K32" i="13" s="1"/>
  <c r="G32" i="13" l="1"/>
  <c r="H32" i="13" s="1"/>
  <c r="J32" i="13" s="1"/>
  <c r="D33" i="13" s="1"/>
  <c r="I33" i="13" l="1"/>
  <c r="K33" i="13" s="1"/>
  <c r="F33" i="13"/>
  <c r="G33" i="13" l="1"/>
  <c r="H33" i="13" s="1"/>
  <c r="J33" i="13" s="1"/>
  <c r="D34" i="13" s="1"/>
  <c r="I34" i="13" l="1"/>
  <c r="K34" i="13" s="1"/>
  <c r="F34" i="13"/>
  <c r="G34" i="13" l="1"/>
  <c r="H34" i="13" s="1"/>
  <c r="J34" i="13" s="1"/>
  <c r="D35" i="13" s="1"/>
  <c r="I35" i="13" l="1"/>
  <c r="K35" i="13" s="1"/>
  <c r="F35" i="13"/>
  <c r="G35" i="13" l="1"/>
  <c r="H35" i="13" s="1"/>
  <c r="J35" i="13" s="1"/>
  <c r="D36" i="13" s="1"/>
  <c r="I36" i="13" l="1"/>
  <c r="K36" i="13" s="1"/>
  <c r="F36" i="13"/>
  <c r="G36" i="13" l="1"/>
  <c r="H36" i="13" s="1"/>
  <c r="J36" i="13" s="1"/>
  <c r="D37" i="13" s="1"/>
  <c r="F37" i="13" l="1"/>
  <c r="I37" i="13"/>
  <c r="K37" i="13" s="1"/>
  <c r="G37" i="13" l="1"/>
  <c r="H37" i="13" s="1"/>
  <c r="J37" i="13" s="1"/>
  <c r="D38" i="13" s="1"/>
  <c r="F38" i="13" l="1"/>
  <c r="I38" i="13"/>
  <c r="K38" i="13" s="1"/>
  <c r="G38" i="13" l="1"/>
  <c r="H38" i="13" s="1"/>
  <c r="J38" i="13" s="1"/>
  <c r="D39" i="13" s="1"/>
  <c r="I39" i="13" l="1"/>
  <c r="K39" i="13" s="1"/>
  <c r="F39" i="13"/>
  <c r="G39" i="13" l="1"/>
  <c r="H39" i="13" s="1"/>
  <c r="J39" i="13" s="1"/>
  <c r="D40" i="13" s="1"/>
  <c r="I40" i="13" l="1"/>
  <c r="K40" i="13" s="1"/>
  <c r="F40" i="13"/>
  <c r="G40" i="13" l="1"/>
  <c r="H40" i="13" s="1"/>
  <c r="J40" i="13" s="1"/>
  <c r="D41" i="13" s="1"/>
  <c r="I41" i="13" l="1"/>
  <c r="K41" i="13" s="1"/>
  <c r="F41" i="13"/>
  <c r="G41" i="13" l="1"/>
  <c r="H41" i="13" s="1"/>
  <c r="J41" i="13" s="1"/>
  <c r="D42" i="13" s="1"/>
  <c r="F42" i="13" l="1"/>
  <c r="I42" i="13"/>
  <c r="K42" i="13" s="1"/>
  <c r="G42" i="13" l="1"/>
  <c r="H42" i="13" s="1"/>
  <c r="J42" i="13" s="1"/>
  <c r="D43" i="13" s="1"/>
  <c r="I43" i="13" l="1"/>
  <c r="K43" i="13" s="1"/>
  <c r="F43" i="13"/>
  <c r="G43" i="13" l="1"/>
  <c r="H43" i="13" s="1"/>
  <c r="J43" i="13" s="1"/>
  <c r="D44" i="13" s="1"/>
  <c r="I44" i="13" l="1"/>
  <c r="K44" i="13" s="1"/>
  <c r="F44" i="13"/>
  <c r="G44" i="13" l="1"/>
  <c r="H44" i="13" s="1"/>
  <c r="J44" i="13" s="1"/>
  <c r="D45" i="13" s="1"/>
  <c r="F45" i="13" l="1"/>
  <c r="I45" i="13"/>
  <c r="K45" i="13" s="1"/>
  <c r="G45" i="13" l="1"/>
  <c r="H45" i="13" s="1"/>
  <c r="J45" i="13" s="1"/>
  <c r="D46" i="13" s="1"/>
  <c r="I46" i="13" l="1"/>
  <c r="K46" i="13" s="1"/>
  <c r="F46" i="13"/>
  <c r="G46" i="13" l="1"/>
  <c r="H46" i="13" s="1"/>
  <c r="J46" i="13" s="1"/>
  <c r="D47" i="13" s="1"/>
  <c r="F47" i="13" l="1"/>
  <c r="I47" i="13"/>
  <c r="K47" i="13" s="1"/>
  <c r="G47" i="13" l="1"/>
  <c r="H47" i="13" s="1"/>
  <c r="J47" i="13" s="1"/>
  <c r="D48" i="13" s="1"/>
  <c r="I48" i="13" l="1"/>
  <c r="K48" i="13" s="1"/>
  <c r="F48" i="13"/>
  <c r="G48" i="13" l="1"/>
  <c r="H48" i="13" s="1"/>
  <c r="J48" i="13" s="1"/>
  <c r="D49" i="13" s="1"/>
  <c r="I49" i="13" l="1"/>
  <c r="K49" i="13" s="1"/>
  <c r="F49" i="13"/>
  <c r="G49" i="13" l="1"/>
  <c r="H49" i="13" s="1"/>
  <c r="K11" i="13" s="1"/>
  <c r="J49" i="13" l="1"/>
  <c r="D50" i="13" s="1"/>
  <c r="I50" i="13" l="1"/>
  <c r="K50" i="13" s="1"/>
  <c r="F50" i="13"/>
  <c r="G50" i="13" l="1"/>
  <c r="H50" i="13" s="1"/>
  <c r="J50" i="13" s="1"/>
  <c r="D51" i="13" s="1"/>
  <c r="I51" i="13" l="1"/>
  <c r="K51" i="13" s="1"/>
  <c r="F51" i="13"/>
  <c r="G51" i="13" l="1"/>
  <c r="H51" i="13" s="1"/>
  <c r="J51" i="13" s="1"/>
  <c r="D52" i="13" s="1"/>
  <c r="I52" i="13" l="1"/>
  <c r="K52" i="13" s="1"/>
  <c r="F52" i="13"/>
  <c r="G52" i="13" l="1"/>
  <c r="H52" i="13" s="1"/>
  <c r="J52" i="13" s="1"/>
  <c r="D53" i="13" s="1"/>
  <c r="F53" i="13" l="1"/>
  <c r="I53" i="13"/>
  <c r="K53" i="13" s="1"/>
  <c r="G53" i="13" l="1"/>
  <c r="H53" i="13" s="1"/>
  <c r="J53" i="13" s="1"/>
  <c r="D54" i="13" s="1"/>
  <c r="I54" i="13" l="1"/>
  <c r="K54" i="13" s="1"/>
  <c r="F54" i="13"/>
  <c r="G54" i="13" l="1"/>
  <c r="H54" i="13" s="1"/>
  <c r="J54" i="13" s="1"/>
  <c r="D55" i="13" s="1"/>
  <c r="I55" i="13" l="1"/>
  <c r="K55" i="13" s="1"/>
  <c r="F55" i="13"/>
  <c r="G55" i="13" l="1"/>
  <c r="H55" i="13" s="1"/>
  <c r="J55" i="13" s="1"/>
  <c r="D56" i="13" s="1"/>
  <c r="I56" i="13" l="1"/>
  <c r="K56" i="13" s="1"/>
  <c r="F56" i="13"/>
  <c r="G56" i="13" l="1"/>
  <c r="H56" i="13" s="1"/>
  <c r="J56" i="13" s="1"/>
  <c r="D57" i="13" s="1"/>
  <c r="I57" i="13" l="1"/>
  <c r="K57" i="13" s="1"/>
  <c r="F57" i="13"/>
  <c r="G57" i="13" l="1"/>
  <c r="H57" i="13" s="1"/>
  <c r="J57" i="13" s="1"/>
  <c r="D58" i="13" s="1"/>
  <c r="I58" i="13" l="1"/>
  <c r="K58" i="13" s="1"/>
  <c r="F58" i="13"/>
  <c r="G58" i="13" l="1"/>
  <c r="H58" i="13" s="1"/>
  <c r="J58" i="13" s="1"/>
  <c r="D59" i="13" s="1"/>
  <c r="F59" i="13" l="1"/>
  <c r="I59" i="13"/>
  <c r="K59" i="13" s="1"/>
  <c r="G59" i="13" l="1"/>
  <c r="H59" i="13" s="1"/>
  <c r="J59" i="13" s="1"/>
  <c r="D60" i="13" s="1"/>
  <c r="I60" i="13" l="1"/>
  <c r="K60" i="13" s="1"/>
  <c r="F60" i="13"/>
  <c r="G60" i="13" l="1"/>
  <c r="H60" i="13" s="1"/>
  <c r="J60" i="13" s="1"/>
  <c r="D61" i="13" s="1"/>
  <c r="F61" i="13" l="1"/>
  <c r="I61" i="13"/>
  <c r="K61" i="13" s="1"/>
  <c r="G61" i="13" l="1"/>
  <c r="H61" i="13" s="1"/>
  <c r="J61" i="13" s="1"/>
  <c r="D62" i="13" s="1"/>
  <c r="F62" i="13" l="1"/>
  <c r="I62" i="13"/>
  <c r="K62" i="13" s="1"/>
  <c r="G62" i="13" l="1"/>
  <c r="H62" i="13" s="1"/>
  <c r="J62" i="13" s="1"/>
  <c r="D63" i="13" s="1"/>
  <c r="F63" i="13" l="1"/>
  <c r="I63" i="13"/>
  <c r="K63" i="13" s="1"/>
  <c r="G63" i="13" l="1"/>
  <c r="H63" i="13" s="1"/>
  <c r="J63" i="13" s="1"/>
  <c r="D64" i="13" s="1"/>
  <c r="I64" i="13" l="1"/>
  <c r="K64" i="13" s="1"/>
  <c r="F64" i="13"/>
  <c r="G64" i="13" l="1"/>
  <c r="H64" i="13" s="1"/>
  <c r="J64" i="13" s="1"/>
  <c r="D65" i="13" s="1"/>
  <c r="I65" i="13" l="1"/>
  <c r="K65" i="13" s="1"/>
  <c r="F65" i="13"/>
  <c r="G65" i="13" l="1"/>
  <c r="H65" i="13" s="1"/>
  <c r="J65" i="13" s="1"/>
  <c r="D66" i="13" s="1"/>
  <c r="I66" i="13" l="1"/>
  <c r="K66" i="13" s="1"/>
  <c r="F66" i="13"/>
  <c r="G66" i="13" l="1"/>
  <c r="H66" i="13" s="1"/>
  <c r="J66" i="13" s="1"/>
  <c r="D67" i="13" s="1"/>
  <c r="I67" i="13" l="1"/>
  <c r="K67" i="13" s="1"/>
  <c r="F67" i="13"/>
  <c r="G67" i="13" l="1"/>
  <c r="H67" i="13" s="1"/>
  <c r="J67" i="13" s="1"/>
  <c r="D68" i="13" s="1"/>
  <c r="I68" i="13" l="1"/>
  <c r="K68" i="13" s="1"/>
  <c r="F68" i="13"/>
  <c r="G68" i="13" l="1"/>
  <c r="H68" i="13" s="1"/>
  <c r="J68" i="13" s="1"/>
  <c r="D69" i="13" s="1"/>
  <c r="F69" i="13" l="1"/>
  <c r="I69" i="13"/>
  <c r="K69" i="13" s="1"/>
  <c r="G69" i="13" l="1"/>
  <c r="H69" i="13" s="1"/>
  <c r="J69" i="13" s="1"/>
  <c r="D70" i="13" s="1"/>
  <c r="I70" i="13" l="1"/>
  <c r="K70" i="13" s="1"/>
  <c r="F70" i="13"/>
  <c r="G70" i="13" l="1"/>
  <c r="H70" i="13" s="1"/>
  <c r="J70" i="13" s="1"/>
  <c r="D71" i="13" s="1"/>
  <c r="I71" i="13" l="1"/>
  <c r="K71" i="13" s="1"/>
  <c r="F71" i="13"/>
  <c r="G71" i="13" l="1"/>
  <c r="H71" i="13" s="1"/>
  <c r="J71" i="13" s="1"/>
  <c r="D72" i="13" s="1"/>
  <c r="F72" i="13" l="1"/>
  <c r="I72" i="13"/>
  <c r="K72" i="13" s="1"/>
  <c r="G72" i="13" l="1"/>
  <c r="H72" i="13" s="1"/>
  <c r="J72" i="13" s="1"/>
  <c r="D73" i="13" s="1"/>
  <c r="I73" i="13" l="1"/>
  <c r="K73" i="13" s="1"/>
  <c r="F73" i="13"/>
  <c r="G73" i="13" l="1"/>
  <c r="H73" i="13" s="1"/>
  <c r="J73" i="13" s="1"/>
  <c r="D74" i="13" s="1"/>
  <c r="I74" i="13" l="1"/>
  <c r="K74" i="13" s="1"/>
  <c r="F74" i="13"/>
  <c r="G74" i="13" l="1"/>
  <c r="H74" i="13" s="1"/>
  <c r="J74" i="13" s="1"/>
  <c r="D75" i="13" s="1"/>
  <c r="F75" i="13" l="1"/>
  <c r="I75" i="13"/>
  <c r="K75" i="13" s="1"/>
  <c r="G75" i="13" l="1"/>
  <c r="H75" i="13" s="1"/>
  <c r="J75" i="13" s="1"/>
  <c r="D76" i="13" s="1"/>
  <c r="F76" i="13" l="1"/>
  <c r="I76" i="13"/>
  <c r="K76" i="13" s="1"/>
  <c r="G76" i="13" l="1"/>
  <c r="H76" i="13" s="1"/>
  <c r="J76" i="13" s="1"/>
  <c r="D77" i="13" s="1"/>
  <c r="I77" i="13" l="1"/>
  <c r="K77" i="13" s="1"/>
  <c r="F77" i="13"/>
  <c r="G77" i="13" l="1"/>
  <c r="H77" i="13" s="1"/>
  <c r="J77" i="13" s="1"/>
  <c r="D78" i="13" s="1"/>
  <c r="I78" i="13" l="1"/>
  <c r="K78" i="13" s="1"/>
  <c r="F78" i="13"/>
  <c r="G78" i="13" l="1"/>
  <c r="H78" i="13" s="1"/>
  <c r="J78" i="13" s="1"/>
  <c r="D79" i="13" s="1"/>
  <c r="I79" i="13" l="1"/>
  <c r="K79" i="13" s="1"/>
  <c r="F79" i="13"/>
  <c r="G79" i="13" l="1"/>
  <c r="H79" i="13" s="1"/>
  <c r="J79" i="13" s="1"/>
  <c r="D80" i="13" s="1"/>
  <c r="I80" i="13" l="1"/>
  <c r="K80" i="13" s="1"/>
  <c r="F80" i="13"/>
  <c r="G80" i="13" l="1"/>
  <c r="H80" i="13" s="1"/>
  <c r="J80" i="13" s="1"/>
  <c r="D81" i="13" s="1"/>
  <c r="I81" i="13" l="1"/>
  <c r="K81" i="13" s="1"/>
  <c r="F81" i="13"/>
  <c r="G81" i="13" l="1"/>
  <c r="H81" i="13" s="1"/>
  <c r="J81" i="13" s="1"/>
  <c r="D82" i="13" s="1"/>
  <c r="I82" i="13" l="1"/>
  <c r="K82" i="13" s="1"/>
  <c r="F82" i="13"/>
  <c r="G82" i="13" l="1"/>
  <c r="H82" i="13" s="1"/>
  <c r="J82" i="13" s="1"/>
  <c r="D83" i="13" s="1"/>
  <c r="I83" i="13" l="1"/>
  <c r="K83" i="13" s="1"/>
  <c r="F83" i="13"/>
  <c r="G83" i="13" l="1"/>
  <c r="H83" i="13" s="1"/>
  <c r="J83" i="13" s="1"/>
  <c r="D84" i="13" s="1"/>
  <c r="I84" i="13" l="1"/>
  <c r="K84" i="13" s="1"/>
  <c r="F84" i="13"/>
  <c r="G84" i="13" l="1"/>
  <c r="H84" i="13" s="1"/>
  <c r="J84" i="13" s="1"/>
  <c r="D85" i="13" s="1"/>
  <c r="I85" i="13" l="1"/>
  <c r="K85" i="13" s="1"/>
  <c r="F85" i="13"/>
  <c r="G85" i="13" l="1"/>
  <c r="H85" i="13" s="1"/>
  <c r="J85" i="13" s="1"/>
  <c r="D86" i="13" s="1"/>
  <c r="I86" i="13" l="1"/>
  <c r="K86" i="13" s="1"/>
  <c r="F86" i="13"/>
  <c r="G86" i="13" l="1"/>
  <c r="H86" i="13" s="1"/>
  <c r="J86" i="13" s="1"/>
  <c r="D87" i="13" s="1"/>
  <c r="I87" i="13" l="1"/>
  <c r="K87" i="13" s="1"/>
  <c r="F87" i="13"/>
  <c r="G87" i="13" l="1"/>
  <c r="H87" i="13" s="1"/>
  <c r="J87" i="13" s="1"/>
  <c r="D88" i="13" s="1"/>
  <c r="I88" i="13" l="1"/>
  <c r="K88" i="13" s="1"/>
  <c r="F88" i="13"/>
  <c r="G88" i="13" l="1"/>
  <c r="H88" i="13" s="1"/>
  <c r="J88" i="13" s="1"/>
  <c r="D89" i="13" s="1"/>
  <c r="I89" i="13" l="1"/>
  <c r="K89" i="13" s="1"/>
  <c r="F89" i="13"/>
  <c r="G89" i="13" l="1"/>
  <c r="H89" i="13" s="1"/>
  <c r="J89" i="13" s="1"/>
  <c r="D90" i="13" s="1"/>
  <c r="F90" i="13" l="1"/>
  <c r="I90" i="13"/>
  <c r="K90" i="13" s="1"/>
  <c r="G90" i="13" l="1"/>
  <c r="H90" i="13" s="1"/>
  <c r="J90" i="13" s="1"/>
  <c r="D91" i="13" s="1"/>
  <c r="I91" i="13" l="1"/>
  <c r="K91" i="13" s="1"/>
  <c r="F91" i="13"/>
  <c r="G91" i="13" l="1"/>
  <c r="H91" i="13" s="1"/>
  <c r="J91" i="13" s="1"/>
  <c r="D92" i="13" s="1"/>
  <c r="I92" i="13" l="1"/>
  <c r="K92" i="13" s="1"/>
  <c r="F92" i="13"/>
  <c r="G92" i="13" l="1"/>
  <c r="H92" i="13" s="1"/>
  <c r="J92" i="13" s="1"/>
  <c r="D93" i="13" s="1"/>
  <c r="I93" i="13" l="1"/>
  <c r="K93" i="13" s="1"/>
  <c r="F93" i="13"/>
  <c r="G93" i="13" l="1"/>
  <c r="H93" i="13" s="1"/>
  <c r="J93" i="13" s="1"/>
  <c r="D94" i="13" s="1"/>
  <c r="I94" i="13" l="1"/>
  <c r="K94" i="13" s="1"/>
  <c r="F94" i="13"/>
  <c r="G94" i="13" l="1"/>
  <c r="H94" i="13" s="1"/>
  <c r="J94" i="13" s="1"/>
  <c r="D95" i="13" s="1"/>
  <c r="I95" i="13" l="1"/>
  <c r="K95" i="13" s="1"/>
  <c r="F95" i="13"/>
  <c r="G95" i="13" l="1"/>
  <c r="H95" i="13" s="1"/>
  <c r="J95" i="13" s="1"/>
  <c r="D96" i="13" s="1"/>
  <c r="I96" i="13" l="1"/>
  <c r="K96" i="13" s="1"/>
  <c r="F96" i="13"/>
  <c r="G96" i="13" l="1"/>
  <c r="H96" i="13" s="1"/>
  <c r="J96" i="13" s="1"/>
  <c r="D97" i="13" s="1"/>
  <c r="I97" i="13" l="1"/>
  <c r="K97" i="13" s="1"/>
  <c r="F97" i="13"/>
  <c r="G97" i="13" l="1"/>
  <c r="H97" i="13" s="1"/>
  <c r="J97" i="13" s="1"/>
  <c r="D98" i="13" s="1"/>
  <c r="I98" i="13" l="1"/>
  <c r="K98" i="13" s="1"/>
  <c r="F98" i="13"/>
  <c r="G98" i="13" l="1"/>
  <c r="H98" i="13" s="1"/>
  <c r="J98" i="13" s="1"/>
  <c r="D99" i="13" s="1"/>
  <c r="I99" i="13" l="1"/>
  <c r="K99" i="13" s="1"/>
  <c r="F99" i="13"/>
  <c r="G99" i="13" l="1"/>
  <c r="H99" i="13" s="1"/>
  <c r="J99" i="13" s="1"/>
  <c r="D100" i="13" s="1"/>
  <c r="I100" i="13" l="1"/>
  <c r="K100" i="13" s="1"/>
  <c r="F100" i="13"/>
  <c r="G100" i="13" l="1"/>
  <c r="H100" i="13" s="1"/>
  <c r="J100" i="13" s="1"/>
  <c r="D101" i="13" s="1"/>
  <c r="I101" i="13" l="1"/>
  <c r="K101" i="13" s="1"/>
  <c r="F101" i="13"/>
  <c r="G101" i="13" l="1"/>
  <c r="H101" i="13" s="1"/>
  <c r="J101" i="13" s="1"/>
  <c r="D102" i="13" s="1"/>
  <c r="I102" i="13" l="1"/>
  <c r="K102" i="13" s="1"/>
  <c r="F102" i="13"/>
  <c r="G102" i="13" l="1"/>
  <c r="H102" i="13" s="1"/>
  <c r="J102" i="13" s="1"/>
  <c r="D103" i="13" s="1"/>
  <c r="I103" i="13" l="1"/>
  <c r="K103" i="13" s="1"/>
  <c r="F103" i="13"/>
  <c r="G103" i="13" l="1"/>
  <c r="H103" i="13" s="1"/>
  <c r="J103" i="13" s="1"/>
  <c r="D104" i="13" s="1"/>
  <c r="I104" i="13" l="1"/>
  <c r="K104" i="13" s="1"/>
  <c r="F104" i="13"/>
  <c r="G104" i="13" l="1"/>
  <c r="H104" i="13" s="1"/>
  <c r="J104" i="13" s="1"/>
  <c r="D105" i="13" s="1"/>
  <c r="I105" i="13" l="1"/>
  <c r="K105" i="13" s="1"/>
  <c r="F105" i="13"/>
  <c r="G105" i="13" l="1"/>
  <c r="H105" i="13" s="1"/>
  <c r="J105" i="13" s="1"/>
  <c r="D106" i="13" s="1"/>
  <c r="I106" i="13" l="1"/>
  <c r="K106" i="13" s="1"/>
  <c r="F106" i="13"/>
  <c r="G106" i="13" l="1"/>
  <c r="H106" i="13" s="1"/>
  <c r="J106" i="13" s="1"/>
  <c r="D107" i="13" s="1"/>
  <c r="F107" i="13" l="1"/>
  <c r="I107" i="13"/>
  <c r="K107" i="13" s="1"/>
  <c r="G107" i="13" l="1"/>
  <c r="H107" i="13" s="1"/>
  <c r="J107" i="13" s="1"/>
  <c r="D108" i="13" s="1"/>
  <c r="I108" i="13" l="1"/>
  <c r="K108" i="13" s="1"/>
  <c r="F108" i="13"/>
  <c r="G108" i="13" l="1"/>
  <c r="H108" i="13" s="1"/>
  <c r="J108" i="13" s="1"/>
  <c r="D109" i="13" s="1"/>
  <c r="F109" i="13" l="1"/>
  <c r="I109" i="13"/>
  <c r="K109" i="13" s="1"/>
  <c r="G109" i="13" l="1"/>
  <c r="H109" i="13" s="1"/>
  <c r="J109" i="13" s="1"/>
  <c r="D110" i="13" s="1"/>
  <c r="I110" i="13" l="1"/>
  <c r="K110" i="13" s="1"/>
  <c r="F110" i="13"/>
  <c r="G110" i="13" l="1"/>
  <c r="H110" i="13" s="1"/>
  <c r="J110" i="13" s="1"/>
  <c r="D111" i="13" s="1"/>
  <c r="I111" i="13" l="1"/>
  <c r="K111" i="13" s="1"/>
  <c r="F111" i="13"/>
  <c r="G111" i="13" l="1"/>
  <c r="H111" i="13" s="1"/>
  <c r="J111" i="13" s="1"/>
  <c r="D112" i="13" s="1"/>
  <c r="I112" i="13" l="1"/>
  <c r="K112" i="13" s="1"/>
  <c r="F112" i="13"/>
  <c r="G112" i="13" l="1"/>
  <c r="H112" i="13" s="1"/>
  <c r="J112" i="13" s="1"/>
  <c r="D113" i="13" s="1"/>
  <c r="I113" i="13" l="1"/>
  <c r="K113" i="13" s="1"/>
  <c r="F113" i="13"/>
  <c r="G113" i="13" l="1"/>
  <c r="H113" i="13" s="1"/>
  <c r="J113" i="13" s="1"/>
  <c r="D114" i="13" s="1"/>
  <c r="I114" i="13" l="1"/>
  <c r="K114" i="13" s="1"/>
  <c r="F114" i="13"/>
  <c r="G114" i="13" l="1"/>
  <c r="H114" i="13" s="1"/>
  <c r="J114" i="13" s="1"/>
  <c r="D115" i="13" s="1"/>
  <c r="I115" i="13" l="1"/>
  <c r="K115" i="13" s="1"/>
  <c r="F115" i="13"/>
  <c r="G115" i="13" l="1"/>
  <c r="H115" i="13" s="1"/>
  <c r="J115" i="13" s="1"/>
  <c r="D116" i="13" s="1"/>
  <c r="I116" i="13" l="1"/>
  <c r="K116" i="13" s="1"/>
  <c r="F116" i="13"/>
  <c r="G116" i="13" l="1"/>
  <c r="H116" i="13" s="1"/>
  <c r="J116" i="13" s="1"/>
  <c r="D117" i="13" s="1"/>
  <c r="I117" i="13" l="1"/>
  <c r="K117" i="13" s="1"/>
  <c r="F117" i="13"/>
  <c r="G117" i="13" l="1"/>
  <c r="H117" i="13" s="1"/>
  <c r="J117" i="13" s="1"/>
  <c r="D118" i="13" s="1"/>
  <c r="I118" i="13" l="1"/>
  <c r="K118" i="13" s="1"/>
  <c r="F118" i="13"/>
  <c r="G118" i="13" l="1"/>
  <c r="H118" i="13" s="1"/>
  <c r="J118" i="13" s="1"/>
  <c r="D119" i="13" s="1"/>
  <c r="F119" i="13" l="1"/>
  <c r="I119" i="13"/>
  <c r="K119" i="13" s="1"/>
  <c r="G119" i="13" l="1"/>
  <c r="H119" i="13" s="1"/>
  <c r="J119" i="13" s="1"/>
  <c r="D120" i="13" s="1"/>
  <c r="I120" i="13" l="1"/>
  <c r="K120" i="13" s="1"/>
  <c r="F120" i="13"/>
  <c r="G120" i="13" l="1"/>
  <c r="H120" i="13" s="1"/>
  <c r="J120" i="13" s="1"/>
  <c r="D121" i="13" s="1"/>
  <c r="I121" i="13" l="1"/>
  <c r="K121" i="13" s="1"/>
  <c r="F121" i="13"/>
  <c r="G121" i="13" l="1"/>
  <c r="H121" i="13" s="1"/>
  <c r="J121" i="13" s="1"/>
  <c r="D122" i="13" s="1"/>
  <c r="I122" i="13" l="1"/>
  <c r="K122" i="13" s="1"/>
  <c r="F122" i="13"/>
  <c r="G122" i="13" l="1"/>
  <c r="H122" i="13" s="1"/>
  <c r="J122" i="13" s="1"/>
  <c r="D123" i="13" s="1"/>
  <c r="I123" i="13" l="1"/>
  <c r="K123" i="13" s="1"/>
  <c r="F123" i="13"/>
  <c r="G123" i="13" l="1"/>
  <c r="H123" i="13" s="1"/>
  <c r="J123" i="13" s="1"/>
  <c r="D124" i="13" s="1"/>
  <c r="F124" i="13" l="1"/>
  <c r="I124" i="13"/>
  <c r="K124" i="13" s="1"/>
  <c r="G124" i="13" l="1"/>
  <c r="H124" i="13" s="1"/>
  <c r="J124" i="13" s="1"/>
  <c r="D125" i="13" s="1"/>
  <c r="I125" i="13" l="1"/>
  <c r="K125" i="13" s="1"/>
  <c r="F125" i="13"/>
  <c r="G125" i="13" l="1"/>
  <c r="H125" i="13" s="1"/>
  <c r="J125" i="13" s="1"/>
  <c r="D126" i="13" s="1"/>
  <c r="I126" i="13" l="1"/>
  <c r="K126" i="13" s="1"/>
  <c r="F126" i="13"/>
  <c r="G126" i="13" l="1"/>
  <c r="H126" i="13" s="1"/>
  <c r="J126" i="13" s="1"/>
  <c r="D127" i="13" s="1"/>
  <c r="I127" i="13" l="1"/>
  <c r="K127" i="13" s="1"/>
  <c r="F127" i="13"/>
  <c r="G127" i="13" l="1"/>
  <c r="H127" i="13" s="1"/>
  <c r="J127" i="13" s="1"/>
  <c r="D128" i="13" s="1"/>
  <c r="I128" i="13" l="1"/>
  <c r="K128" i="13" s="1"/>
  <c r="F128" i="13"/>
  <c r="G128" i="13" l="1"/>
  <c r="H128" i="13" s="1"/>
  <c r="J128" i="13" s="1"/>
  <c r="D129" i="13" s="1"/>
  <c r="I129" i="13" l="1"/>
  <c r="K129" i="13" s="1"/>
  <c r="F129" i="13"/>
  <c r="G129" i="13" l="1"/>
  <c r="H129" i="13" s="1"/>
  <c r="J129" i="13" s="1"/>
  <c r="D130" i="13" s="1"/>
  <c r="I130" i="13" l="1"/>
  <c r="K130" i="13" s="1"/>
  <c r="F130" i="13"/>
  <c r="G130" i="13" l="1"/>
  <c r="H130" i="13" s="1"/>
  <c r="J130" i="13" s="1"/>
  <c r="D131" i="13" s="1"/>
  <c r="I131" i="13" l="1"/>
  <c r="K131" i="13" s="1"/>
  <c r="F131" i="13"/>
  <c r="G131" i="13" l="1"/>
  <c r="H131" i="13" s="1"/>
  <c r="J131" i="13" s="1"/>
  <c r="D132" i="13" s="1"/>
  <c r="I132" i="13" l="1"/>
  <c r="K132" i="13" s="1"/>
  <c r="F132" i="13"/>
  <c r="G132" i="13" l="1"/>
  <c r="H132" i="13" s="1"/>
  <c r="J132" i="13" s="1"/>
  <c r="D133" i="13" s="1"/>
  <c r="I133" i="13" l="1"/>
  <c r="K133" i="13" s="1"/>
  <c r="F133" i="13"/>
  <c r="G133" i="13" l="1"/>
  <c r="H133" i="13" s="1"/>
  <c r="J133" i="13" s="1"/>
  <c r="D134" i="13" s="1"/>
  <c r="I134" i="13" l="1"/>
  <c r="K134" i="13" s="1"/>
  <c r="F134" i="13"/>
  <c r="G134" i="13" l="1"/>
  <c r="H134" i="13" s="1"/>
  <c r="J134" i="13" s="1"/>
  <c r="D135" i="13" s="1"/>
  <c r="I135" i="13" l="1"/>
  <c r="K135" i="13" s="1"/>
  <c r="F135" i="13"/>
  <c r="G135" i="13" l="1"/>
  <c r="H135" i="13" s="1"/>
  <c r="J135" i="13" s="1"/>
  <c r="D136" i="13" s="1"/>
  <c r="I136" i="13" l="1"/>
  <c r="K136" i="13" s="1"/>
  <c r="F136" i="13"/>
  <c r="G136" i="13" l="1"/>
  <c r="H136" i="13" s="1"/>
  <c r="J136" i="13" s="1"/>
  <c r="D137" i="13" s="1"/>
  <c r="I137" i="13" l="1"/>
  <c r="K137" i="13" s="1"/>
  <c r="F137" i="13"/>
  <c r="G137" i="13" l="1"/>
  <c r="H137" i="13" s="1"/>
  <c r="J137" i="13" s="1"/>
  <c r="D138" i="13" s="1"/>
  <c r="I138" i="13" l="1"/>
  <c r="K138" i="13" s="1"/>
  <c r="F138" i="13"/>
  <c r="G138" i="13" l="1"/>
  <c r="H138" i="13" s="1"/>
  <c r="J138" i="13" s="1"/>
  <c r="D139" i="13" s="1"/>
  <c r="I139" i="13" l="1"/>
  <c r="K139" i="13" s="1"/>
  <c r="F139" i="13"/>
  <c r="G139" i="13" l="1"/>
  <c r="H139" i="13" s="1"/>
  <c r="J139" i="13" s="1"/>
  <c r="D140" i="13" s="1"/>
  <c r="F140" i="13" l="1"/>
  <c r="I140" i="13"/>
  <c r="K140" i="13" s="1"/>
  <c r="G140" i="13" l="1"/>
  <c r="H140" i="13" s="1"/>
  <c r="J140" i="13" s="1"/>
  <c r="D141" i="13" s="1"/>
  <c r="I141" i="13" l="1"/>
  <c r="K141" i="13" s="1"/>
  <c r="F141" i="13"/>
  <c r="G141" i="13" l="1"/>
  <c r="H141" i="13" s="1"/>
  <c r="J141" i="13" s="1"/>
  <c r="D142" i="13" s="1"/>
  <c r="I142" i="13" l="1"/>
  <c r="K142" i="13" s="1"/>
  <c r="F142" i="13"/>
  <c r="G142" i="13" l="1"/>
  <c r="H142" i="13" s="1"/>
  <c r="J142" i="13" s="1"/>
  <c r="D143" i="13" s="1"/>
  <c r="I143" i="13" l="1"/>
  <c r="K143" i="13" s="1"/>
  <c r="F143" i="13"/>
  <c r="G143" i="13" l="1"/>
  <c r="H143" i="13" s="1"/>
  <c r="J143" i="13" s="1"/>
  <c r="D144" i="13" s="1"/>
  <c r="I144" i="13" l="1"/>
  <c r="K144" i="13" s="1"/>
  <c r="F144" i="13"/>
  <c r="G144" i="13" l="1"/>
  <c r="H144" i="13" s="1"/>
  <c r="J144" i="13" s="1"/>
  <c r="D145" i="13" s="1"/>
  <c r="F145" i="13" l="1"/>
  <c r="I145" i="13"/>
  <c r="K145" i="13" s="1"/>
  <c r="G145" i="13" l="1"/>
  <c r="H145" i="13" s="1"/>
  <c r="J145" i="13" s="1"/>
  <c r="D146" i="13" s="1"/>
  <c r="F146" i="13" l="1"/>
  <c r="I146" i="13"/>
  <c r="K146" i="13" s="1"/>
  <c r="G146" i="13" l="1"/>
  <c r="H146" i="13" s="1"/>
  <c r="J146" i="13" s="1"/>
  <c r="D147" i="13" s="1"/>
  <c r="I147" i="13" l="1"/>
  <c r="K147" i="13" s="1"/>
  <c r="F147" i="13"/>
  <c r="G147" i="13" l="1"/>
  <c r="H147" i="13" s="1"/>
  <c r="J147" i="13" s="1"/>
  <c r="D148" i="13" s="1"/>
  <c r="I148" i="13" l="1"/>
  <c r="K148" i="13" s="1"/>
  <c r="F148" i="13"/>
  <c r="G148" i="13" l="1"/>
  <c r="H148" i="13" s="1"/>
  <c r="J148" i="13" s="1"/>
  <c r="D149" i="13" s="1"/>
  <c r="I149" i="13" l="1"/>
  <c r="K149" i="13" s="1"/>
  <c r="F149" i="13"/>
  <c r="G149" i="13" l="1"/>
  <c r="H149" i="13" s="1"/>
  <c r="J149" i="13" s="1"/>
  <c r="D150" i="13" s="1"/>
  <c r="I150" i="13" l="1"/>
  <c r="K150" i="13" s="1"/>
  <c r="F150" i="13"/>
  <c r="G150" i="13" l="1"/>
  <c r="H150" i="13" s="1"/>
  <c r="J150" i="13" s="1"/>
  <c r="D151" i="13" s="1"/>
  <c r="I151" i="13" l="1"/>
  <c r="K151" i="13" s="1"/>
  <c r="F151" i="13"/>
  <c r="G151" i="13" l="1"/>
  <c r="H151" i="13" s="1"/>
  <c r="J151" i="13" s="1"/>
  <c r="D152" i="13" s="1"/>
  <c r="I152" i="13" l="1"/>
  <c r="K152" i="13" s="1"/>
  <c r="F152" i="13"/>
  <c r="G152" i="13" l="1"/>
  <c r="H152" i="13" s="1"/>
  <c r="J152" i="13" s="1"/>
  <c r="D153" i="13" s="1"/>
  <c r="F153" i="13" l="1"/>
  <c r="I153" i="13"/>
  <c r="K153" i="13" s="1"/>
  <c r="G153" i="13" l="1"/>
  <c r="H153" i="13" s="1"/>
  <c r="J153" i="13" s="1"/>
  <c r="D154" i="13" s="1"/>
  <c r="I154" i="13" l="1"/>
  <c r="K154" i="13" s="1"/>
  <c r="F154" i="13"/>
  <c r="G154" i="13" l="1"/>
  <c r="H154" i="13" s="1"/>
  <c r="J154" i="13" s="1"/>
  <c r="D155" i="13" s="1"/>
  <c r="I155" i="13" l="1"/>
  <c r="K155" i="13" s="1"/>
  <c r="F155" i="13"/>
  <c r="G155" i="13" l="1"/>
  <c r="H155" i="13" s="1"/>
  <c r="J155" i="13" s="1"/>
  <c r="D156" i="13" s="1"/>
  <c r="I156" i="13" l="1"/>
  <c r="K156" i="13" s="1"/>
  <c r="F156" i="13"/>
  <c r="G156" i="13" l="1"/>
  <c r="H156" i="13" s="1"/>
  <c r="J156" i="13" s="1"/>
  <c r="D157" i="13" s="1"/>
  <c r="I157" i="13" l="1"/>
  <c r="K157" i="13" s="1"/>
  <c r="F157" i="13"/>
  <c r="G157" i="13" l="1"/>
  <c r="H157" i="13" s="1"/>
  <c r="J157" i="13" s="1"/>
  <c r="D158" i="13" s="1"/>
  <c r="I158" i="13" l="1"/>
  <c r="K158" i="13" s="1"/>
  <c r="F158" i="13"/>
  <c r="G158" i="13" l="1"/>
  <c r="H158" i="13" s="1"/>
  <c r="J158" i="13" s="1"/>
  <c r="D159" i="13" s="1"/>
  <c r="I159" i="13" l="1"/>
  <c r="K159" i="13" s="1"/>
  <c r="F159" i="13"/>
  <c r="G159" i="13" l="1"/>
  <c r="H159" i="13" s="1"/>
  <c r="J159" i="13" s="1"/>
  <c r="D160" i="13" s="1"/>
  <c r="I160" i="13" l="1"/>
  <c r="K160" i="13" s="1"/>
  <c r="F160" i="13"/>
  <c r="G160" i="13" l="1"/>
  <c r="H160" i="13" s="1"/>
  <c r="J160" i="13" s="1"/>
  <c r="D161" i="13" s="1"/>
  <c r="I161" i="13" l="1"/>
  <c r="K161" i="13" s="1"/>
  <c r="F161" i="13"/>
  <c r="G161" i="13" l="1"/>
  <c r="H161" i="13" s="1"/>
  <c r="J161" i="13" s="1"/>
  <c r="D162" i="13" s="1"/>
  <c r="F162" i="13" l="1"/>
  <c r="I162" i="13"/>
  <c r="K162" i="13" s="1"/>
  <c r="G162" i="13" l="1"/>
  <c r="H162" i="13" s="1"/>
  <c r="J162" i="13" s="1"/>
  <c r="D163" i="13" s="1"/>
  <c r="F163" i="13" l="1"/>
  <c r="I163" i="13"/>
  <c r="K163" i="13" s="1"/>
  <c r="G163" i="13" l="1"/>
  <c r="H163" i="13" s="1"/>
  <c r="J163" i="13" s="1"/>
  <c r="D164" i="13" s="1"/>
  <c r="I164" i="13" l="1"/>
  <c r="K164" i="13" s="1"/>
  <c r="F164" i="13"/>
  <c r="G164" i="13" l="1"/>
  <c r="H164" i="13" s="1"/>
  <c r="J164" i="13" s="1"/>
  <c r="D165" i="13" s="1"/>
  <c r="F165" i="13" l="1"/>
  <c r="I165" i="13"/>
  <c r="K165" i="13" s="1"/>
  <c r="G165" i="13" l="1"/>
  <c r="H165" i="13" s="1"/>
  <c r="J165" i="13" s="1"/>
  <c r="D166" i="13" s="1"/>
  <c r="I166" i="13" l="1"/>
  <c r="K166" i="13" s="1"/>
  <c r="F166" i="13"/>
  <c r="G166" i="13" l="1"/>
  <c r="H166" i="13" s="1"/>
  <c r="J166" i="13" s="1"/>
  <c r="D167" i="13" s="1"/>
  <c r="I167" i="13" l="1"/>
  <c r="K167" i="13" s="1"/>
  <c r="F167" i="13"/>
  <c r="G167" i="13" l="1"/>
  <c r="H167" i="13" s="1"/>
  <c r="J167" i="13" s="1"/>
  <c r="D168" i="13" s="1"/>
  <c r="I168" i="13" l="1"/>
  <c r="K168" i="13" s="1"/>
  <c r="F168" i="13"/>
  <c r="G168" i="13" l="1"/>
  <c r="H168" i="13" s="1"/>
  <c r="J168" i="13" s="1"/>
  <c r="D169" i="13" s="1"/>
  <c r="I169" i="13" l="1"/>
  <c r="K169" i="13" s="1"/>
  <c r="F169" i="13"/>
  <c r="G169" i="13" l="1"/>
  <c r="H169" i="13" s="1"/>
  <c r="J169" i="13" s="1"/>
  <c r="D170" i="13" s="1"/>
  <c r="I170" i="13" l="1"/>
  <c r="K170" i="13" s="1"/>
  <c r="F170" i="13"/>
  <c r="G170" i="13" l="1"/>
  <c r="H170" i="13" s="1"/>
  <c r="J170" i="13" s="1"/>
  <c r="D171" i="13" s="1"/>
  <c r="I171" i="13" l="1"/>
  <c r="K171" i="13" s="1"/>
  <c r="F171" i="13"/>
  <c r="G171" i="13" l="1"/>
  <c r="H171" i="13" s="1"/>
  <c r="J171" i="13" s="1"/>
  <c r="D172" i="13" s="1"/>
  <c r="I172" i="13" l="1"/>
  <c r="K172" i="13" s="1"/>
  <c r="F172" i="13"/>
  <c r="G172" i="13" l="1"/>
  <c r="H172" i="13" s="1"/>
  <c r="J172" i="13" s="1"/>
  <c r="D173" i="13" s="1"/>
  <c r="I173" i="13" l="1"/>
  <c r="K173" i="13" s="1"/>
  <c r="F173" i="13"/>
  <c r="G173" i="13" l="1"/>
  <c r="H173" i="13" s="1"/>
  <c r="J173" i="13" s="1"/>
  <c r="D174" i="13" s="1"/>
  <c r="I174" i="13" l="1"/>
  <c r="K174" i="13" s="1"/>
  <c r="F174" i="13"/>
  <c r="G174" i="13" l="1"/>
  <c r="H174" i="13" s="1"/>
  <c r="J174" i="13" s="1"/>
  <c r="D175" i="13" s="1"/>
  <c r="F175" i="13" l="1"/>
  <c r="I175" i="13"/>
  <c r="K175" i="13" s="1"/>
  <c r="G175" i="13" l="1"/>
  <c r="H175" i="13" s="1"/>
  <c r="J175" i="13" s="1"/>
  <c r="D176" i="13" s="1"/>
  <c r="I176" i="13" l="1"/>
  <c r="K176" i="13" s="1"/>
  <c r="F176" i="13"/>
  <c r="G176" i="13" l="1"/>
  <c r="H176" i="13" s="1"/>
  <c r="J176" i="13" s="1"/>
  <c r="D177" i="13" s="1"/>
  <c r="I177" i="13" l="1"/>
  <c r="K177" i="13" s="1"/>
  <c r="F177" i="13"/>
  <c r="G177" i="13" l="1"/>
  <c r="H177" i="13" s="1"/>
  <c r="J177" i="13" s="1"/>
  <c r="D178" i="13" s="1"/>
  <c r="I178" i="13" l="1"/>
  <c r="K178" i="13" s="1"/>
  <c r="F178" i="13"/>
  <c r="G178" i="13" l="1"/>
  <c r="H178" i="13" s="1"/>
  <c r="J178" i="13" s="1"/>
  <c r="D179" i="13" s="1"/>
  <c r="I179" i="13" l="1"/>
  <c r="K179" i="13" s="1"/>
  <c r="F179" i="13"/>
  <c r="G179" i="13" l="1"/>
  <c r="H179" i="13" s="1"/>
  <c r="J179" i="13" s="1"/>
  <c r="D180" i="13" s="1"/>
  <c r="I180" i="13" l="1"/>
  <c r="K180" i="13" s="1"/>
  <c r="F180" i="13"/>
  <c r="G180" i="13" l="1"/>
  <c r="H180" i="13" s="1"/>
  <c r="J180" i="13" s="1"/>
  <c r="D181" i="13" s="1"/>
  <c r="I181" i="13" l="1"/>
  <c r="K181" i="13" s="1"/>
  <c r="F181" i="13"/>
  <c r="G181" i="13" l="1"/>
  <c r="H181" i="13" s="1"/>
  <c r="J181" i="13" s="1"/>
  <c r="D182" i="13" s="1"/>
  <c r="I182" i="13" l="1"/>
  <c r="K182" i="13" s="1"/>
  <c r="F182" i="13"/>
  <c r="G182" i="13" l="1"/>
  <c r="H182" i="13" s="1"/>
  <c r="J182" i="13" s="1"/>
  <c r="D183" i="13" s="1"/>
  <c r="I183" i="13" l="1"/>
  <c r="K183" i="13" s="1"/>
  <c r="F183" i="13"/>
  <c r="G183" i="13" l="1"/>
  <c r="H183" i="13" s="1"/>
  <c r="J183" i="13" s="1"/>
  <c r="D184" i="13" s="1"/>
  <c r="I184" i="13" l="1"/>
  <c r="K184" i="13" s="1"/>
  <c r="F184" i="13"/>
  <c r="G184" i="13" l="1"/>
  <c r="H184" i="13" s="1"/>
  <c r="J184" i="13" s="1"/>
  <c r="D185" i="13" s="1"/>
  <c r="I185" i="13" l="1"/>
  <c r="K185" i="13" s="1"/>
  <c r="F185" i="13"/>
  <c r="G185" i="13" l="1"/>
  <c r="H185" i="13" s="1"/>
  <c r="J185" i="13" s="1"/>
  <c r="D186" i="13" s="1"/>
  <c r="I186" i="13" l="1"/>
  <c r="K186" i="13" s="1"/>
  <c r="F186" i="13"/>
  <c r="G186" i="13" l="1"/>
  <c r="H186" i="13" s="1"/>
  <c r="J186" i="13" s="1"/>
  <c r="D187" i="13" s="1"/>
  <c r="I187" i="13" l="1"/>
  <c r="K187" i="13" s="1"/>
  <c r="F187" i="13"/>
  <c r="G187" i="13" l="1"/>
  <c r="H187" i="13" s="1"/>
  <c r="J187" i="13" s="1"/>
  <c r="D188" i="13" s="1"/>
  <c r="I188" i="13" l="1"/>
  <c r="K188" i="13" s="1"/>
  <c r="F188" i="13"/>
  <c r="G188" i="13" l="1"/>
  <c r="H188" i="13" s="1"/>
  <c r="J188" i="13" s="1"/>
  <c r="D189" i="13" s="1"/>
  <c r="I189" i="13" l="1"/>
  <c r="K189" i="13" s="1"/>
  <c r="F189" i="13"/>
  <c r="G189" i="13" l="1"/>
  <c r="H189" i="13" s="1"/>
  <c r="J189" i="13" s="1"/>
  <c r="D190" i="13" s="1"/>
  <c r="I190" i="13" l="1"/>
  <c r="K190" i="13" s="1"/>
  <c r="F190" i="13"/>
  <c r="G190" i="13" l="1"/>
  <c r="H190" i="13" s="1"/>
  <c r="J190" i="13" s="1"/>
  <c r="D191" i="13" s="1"/>
  <c r="I191" i="13" l="1"/>
  <c r="K191" i="13" s="1"/>
  <c r="F191" i="13"/>
  <c r="G191" i="13" l="1"/>
  <c r="H191" i="13" s="1"/>
  <c r="J191" i="13" s="1"/>
  <c r="D192" i="13" s="1"/>
  <c r="I192" i="13" l="1"/>
  <c r="K192" i="13" s="1"/>
  <c r="F192" i="13"/>
  <c r="G192" i="13" l="1"/>
  <c r="H192" i="13" s="1"/>
  <c r="J192" i="13" s="1"/>
  <c r="D193" i="13" s="1"/>
  <c r="I193" i="13" l="1"/>
  <c r="K193" i="13" s="1"/>
  <c r="F193" i="13"/>
  <c r="G193" i="13" l="1"/>
  <c r="H193" i="13" s="1"/>
  <c r="J193" i="13" s="1"/>
  <c r="D194" i="13" s="1"/>
  <c r="I194" i="13" l="1"/>
  <c r="K194" i="13" s="1"/>
  <c r="F194" i="13"/>
  <c r="G194" i="13" l="1"/>
  <c r="H194" i="13" s="1"/>
  <c r="J194" i="13" s="1"/>
  <c r="D195" i="13" s="1"/>
  <c r="I195" i="13" l="1"/>
  <c r="K195" i="13" s="1"/>
  <c r="F195" i="13"/>
  <c r="G195" i="13" l="1"/>
  <c r="H195" i="13" s="1"/>
  <c r="J195" i="13" s="1"/>
  <c r="D196" i="13" s="1"/>
  <c r="I196" i="13" l="1"/>
  <c r="K196" i="13" s="1"/>
  <c r="F196" i="13"/>
  <c r="G196" i="13" l="1"/>
  <c r="H196" i="13" s="1"/>
  <c r="J196" i="13" s="1"/>
  <c r="D197" i="13" s="1"/>
  <c r="I197" i="13" l="1"/>
  <c r="K197" i="13" s="1"/>
  <c r="F197" i="13"/>
  <c r="G197" i="13" l="1"/>
  <c r="H197" i="13" s="1"/>
  <c r="J197" i="13" s="1"/>
  <c r="D198" i="13" s="1"/>
  <c r="I198" i="13" l="1"/>
  <c r="K198" i="13" s="1"/>
  <c r="F198" i="13"/>
  <c r="G198" i="13" l="1"/>
  <c r="H198" i="13" s="1"/>
  <c r="J198" i="13" s="1"/>
  <c r="D199" i="13" s="1"/>
  <c r="I199" i="13" l="1"/>
  <c r="K199" i="13" s="1"/>
  <c r="F199" i="13"/>
  <c r="G199" i="13" l="1"/>
  <c r="H199" i="13" s="1"/>
  <c r="J199" i="13" s="1"/>
  <c r="D200" i="13" s="1"/>
  <c r="I200" i="13" l="1"/>
  <c r="K200" i="13" s="1"/>
  <c r="F200" i="13"/>
  <c r="G200" i="13" l="1"/>
  <c r="H200" i="13" s="1"/>
  <c r="J200" i="13" s="1"/>
  <c r="D201" i="13" s="1"/>
  <c r="I201" i="13" l="1"/>
  <c r="K201" i="13" s="1"/>
  <c r="F201" i="13"/>
  <c r="G201" i="13" l="1"/>
  <c r="H201" i="13" s="1"/>
  <c r="J201" i="13" s="1"/>
  <c r="D202" i="13" s="1"/>
  <c r="I202" i="13" l="1"/>
  <c r="K202" i="13" s="1"/>
  <c r="F202" i="13"/>
  <c r="G202" i="13" l="1"/>
  <c r="H202" i="13" s="1"/>
  <c r="J202" i="13" s="1"/>
  <c r="D203" i="13" s="1"/>
  <c r="I203" i="13" l="1"/>
  <c r="K203" i="13" s="1"/>
  <c r="F203" i="13"/>
  <c r="G203" i="13" l="1"/>
  <c r="H203" i="13" s="1"/>
  <c r="J203" i="13" s="1"/>
  <c r="D204" i="13" s="1"/>
  <c r="I204" i="13" l="1"/>
  <c r="K204" i="13" s="1"/>
  <c r="F204" i="13"/>
  <c r="G204" i="13" l="1"/>
  <c r="H204" i="13" s="1"/>
  <c r="J204" i="13" s="1"/>
  <c r="D205" i="13" s="1"/>
  <c r="I205" i="13" l="1"/>
  <c r="K205" i="13" s="1"/>
  <c r="F205" i="13"/>
  <c r="G205" i="13" l="1"/>
  <c r="H205" i="13" s="1"/>
  <c r="J205" i="13" s="1"/>
  <c r="D206" i="13" s="1"/>
  <c r="I206" i="13" l="1"/>
  <c r="K206" i="13" s="1"/>
  <c r="F206" i="13"/>
  <c r="G206" i="13" l="1"/>
  <c r="H206" i="13" s="1"/>
  <c r="J206" i="13" s="1"/>
  <c r="D207" i="13" s="1"/>
  <c r="I207" i="13" l="1"/>
  <c r="K207" i="13" s="1"/>
  <c r="F207" i="13"/>
  <c r="G207" i="13" l="1"/>
  <c r="H207" i="13" s="1"/>
  <c r="J207" i="13" s="1"/>
  <c r="D208" i="13" s="1"/>
  <c r="I208" i="13" l="1"/>
  <c r="K208" i="13" s="1"/>
  <c r="F208" i="13"/>
  <c r="G208" i="13" l="1"/>
  <c r="H208" i="13" s="1"/>
  <c r="J208" i="13" s="1"/>
  <c r="D209" i="13" s="1"/>
  <c r="I209" i="13" l="1"/>
  <c r="K209" i="13" s="1"/>
  <c r="F209" i="13"/>
  <c r="G209" i="13" l="1"/>
  <c r="H209" i="13" s="1"/>
  <c r="J209" i="13" s="1"/>
  <c r="D210" i="13" s="1"/>
  <c r="I210" i="13" l="1"/>
  <c r="K210" i="13" s="1"/>
  <c r="F210" i="13"/>
  <c r="G210" i="13" l="1"/>
  <c r="H210" i="13" s="1"/>
  <c r="J210" i="13" s="1"/>
  <c r="D211" i="13" s="1"/>
  <c r="I211" i="13" l="1"/>
  <c r="K211" i="13" s="1"/>
  <c r="F211" i="13"/>
  <c r="G211" i="13" l="1"/>
  <c r="H211" i="13" s="1"/>
  <c r="J211" i="13" s="1"/>
  <c r="D212" i="13" s="1"/>
  <c r="I212" i="13" l="1"/>
  <c r="K212" i="13" s="1"/>
  <c r="F212" i="13"/>
  <c r="G212" i="13" l="1"/>
  <c r="H212" i="13" s="1"/>
  <c r="J212" i="13" s="1"/>
  <c r="D213" i="13" s="1"/>
  <c r="I213" i="13" l="1"/>
  <c r="K213" i="13" s="1"/>
  <c r="F213" i="13"/>
  <c r="G213" i="13" l="1"/>
  <c r="H213" i="13" s="1"/>
  <c r="J213" i="13" s="1"/>
  <c r="D214" i="13" s="1"/>
  <c r="F214" i="13" l="1"/>
  <c r="I214" i="13"/>
  <c r="K214" i="13" s="1"/>
  <c r="G214" i="13" l="1"/>
  <c r="H214" i="13" s="1"/>
  <c r="J214" i="13" s="1"/>
  <c r="D215" i="13" s="1"/>
  <c r="I215" i="13" l="1"/>
  <c r="K215" i="13" s="1"/>
  <c r="F215" i="13"/>
  <c r="G215" i="13" l="1"/>
  <c r="H215" i="13" s="1"/>
  <c r="J215" i="13" s="1"/>
  <c r="D216" i="13" s="1"/>
  <c r="I216" i="13" l="1"/>
  <c r="K216" i="13" s="1"/>
  <c r="F216" i="13"/>
  <c r="G216" i="13" l="1"/>
  <c r="H216" i="13" s="1"/>
  <c r="J216" i="13" s="1"/>
  <c r="D217" i="13" s="1"/>
  <c r="I217" i="13" l="1"/>
  <c r="K217" i="13" s="1"/>
  <c r="F217" i="13"/>
  <c r="G217" i="13" l="1"/>
  <c r="H217" i="13" s="1"/>
  <c r="J217" i="13" s="1"/>
  <c r="D218" i="13" s="1"/>
  <c r="I218" i="13" l="1"/>
  <c r="K218" i="13" s="1"/>
  <c r="F218" i="13"/>
  <c r="G218" i="13" l="1"/>
  <c r="H218" i="13" s="1"/>
  <c r="J218" i="13" s="1"/>
  <c r="D219" i="13" s="1"/>
  <c r="F219" i="13" l="1"/>
  <c r="I219" i="13"/>
  <c r="K219" i="13" s="1"/>
  <c r="G219" i="13" l="1"/>
  <c r="H219" i="13" s="1"/>
  <c r="J219" i="13" s="1"/>
  <c r="D220" i="13" s="1"/>
  <c r="I220" i="13" l="1"/>
  <c r="K220" i="13" s="1"/>
  <c r="F220" i="13"/>
  <c r="G220" i="13" l="1"/>
  <c r="H220" i="13" s="1"/>
  <c r="J220" i="13" s="1"/>
  <c r="D221" i="13" s="1"/>
  <c r="I221" i="13" l="1"/>
  <c r="K221" i="13" s="1"/>
  <c r="F221" i="13"/>
  <c r="G221" i="13" l="1"/>
  <c r="H221" i="13" s="1"/>
  <c r="J221" i="13" s="1"/>
  <c r="D222" i="13" s="1"/>
  <c r="I222" i="13" l="1"/>
  <c r="K222" i="13" s="1"/>
  <c r="F222" i="13"/>
  <c r="G222" i="13" l="1"/>
  <c r="H222" i="13" s="1"/>
  <c r="J222" i="13" s="1"/>
  <c r="D223" i="13" s="1"/>
  <c r="F223" i="13" l="1"/>
  <c r="I223" i="13"/>
  <c r="K223" i="13" s="1"/>
  <c r="G223" i="13" l="1"/>
  <c r="H223" i="13" s="1"/>
  <c r="J223" i="13" s="1"/>
  <c r="D224" i="13" s="1"/>
  <c r="I224" i="13" l="1"/>
  <c r="K224" i="13" s="1"/>
  <c r="F224" i="13"/>
  <c r="G224" i="13" l="1"/>
  <c r="H224" i="13" s="1"/>
  <c r="J224" i="13" s="1"/>
  <c r="D225" i="13" s="1"/>
  <c r="I225" i="13" l="1"/>
  <c r="K225" i="13" s="1"/>
  <c r="F225" i="13"/>
  <c r="G225" i="13" l="1"/>
  <c r="H225" i="13" s="1"/>
  <c r="J225" i="13" s="1"/>
  <c r="D226" i="13" s="1"/>
  <c r="I226" i="13" l="1"/>
  <c r="K226" i="13" s="1"/>
  <c r="F226" i="13"/>
  <c r="G226" i="13" l="1"/>
  <c r="H226" i="13" s="1"/>
  <c r="J226" i="13" s="1"/>
  <c r="D227" i="13" s="1"/>
  <c r="I227" i="13" l="1"/>
  <c r="K227" i="13" s="1"/>
  <c r="F227" i="13"/>
  <c r="G227" i="13" l="1"/>
  <c r="H227" i="13" s="1"/>
  <c r="J227" i="13" s="1"/>
  <c r="D228" i="13" s="1"/>
  <c r="I228" i="13" l="1"/>
  <c r="K228" i="13" s="1"/>
  <c r="F228" i="13"/>
  <c r="G228" i="13" l="1"/>
  <c r="H228" i="13" s="1"/>
  <c r="J228" i="13" s="1"/>
  <c r="D229" i="13" s="1"/>
  <c r="I229" i="13" l="1"/>
  <c r="K229" i="13" s="1"/>
  <c r="F229" i="13"/>
  <c r="G229" i="13" l="1"/>
  <c r="H229" i="13" s="1"/>
  <c r="J229" i="13" s="1"/>
  <c r="D230" i="13" s="1"/>
  <c r="I230" i="13" l="1"/>
  <c r="K230" i="13" s="1"/>
  <c r="F230" i="13"/>
  <c r="G230" i="13" l="1"/>
  <c r="H230" i="13" s="1"/>
  <c r="J230" i="13" s="1"/>
  <c r="D231" i="13" s="1"/>
  <c r="I231" i="13" l="1"/>
  <c r="K231" i="13" s="1"/>
  <c r="F231" i="13"/>
  <c r="G231" i="13" l="1"/>
  <c r="H231" i="13" s="1"/>
  <c r="J231" i="13" s="1"/>
  <c r="D232" i="13" s="1"/>
  <c r="I232" i="13" l="1"/>
  <c r="K232" i="13" s="1"/>
  <c r="F232" i="13"/>
  <c r="G232" i="13" l="1"/>
  <c r="H232" i="13" s="1"/>
  <c r="J232" i="13" s="1"/>
  <c r="D233" i="13" s="1"/>
  <c r="I233" i="13" l="1"/>
  <c r="K233" i="13" s="1"/>
  <c r="F233" i="13"/>
  <c r="G233" i="13" l="1"/>
  <c r="H233" i="13" s="1"/>
  <c r="J233" i="13" s="1"/>
  <c r="D234" i="13" s="1"/>
  <c r="I234" i="13" l="1"/>
  <c r="K234" i="13" s="1"/>
  <c r="F234" i="13"/>
  <c r="G234" i="13" l="1"/>
  <c r="H234" i="13" s="1"/>
  <c r="J234" i="13" s="1"/>
  <c r="D235" i="13" s="1"/>
  <c r="I235" i="13" l="1"/>
  <c r="K235" i="13" s="1"/>
  <c r="F235" i="13"/>
  <c r="G235" i="13" l="1"/>
  <c r="H235" i="13" s="1"/>
  <c r="J235" i="13" s="1"/>
  <c r="D236" i="13" s="1"/>
  <c r="I236" i="13" l="1"/>
  <c r="K236" i="13" s="1"/>
  <c r="F236" i="13"/>
  <c r="G236" i="13" l="1"/>
  <c r="H236" i="13" s="1"/>
  <c r="J236" i="13" s="1"/>
  <c r="D237" i="13" s="1"/>
  <c r="I237" i="13" l="1"/>
  <c r="K237" i="13" s="1"/>
  <c r="F237" i="13"/>
  <c r="G237" i="13" l="1"/>
  <c r="H237" i="13" s="1"/>
  <c r="J237" i="13" s="1"/>
  <c r="D238" i="13" s="1"/>
  <c r="I238" i="13" l="1"/>
  <c r="K238" i="13" s="1"/>
  <c r="F238" i="13"/>
  <c r="G238" i="13" l="1"/>
  <c r="H238" i="13" s="1"/>
  <c r="J238" i="13" s="1"/>
  <c r="D239" i="13" s="1"/>
  <c r="I239" i="13" l="1"/>
  <c r="K239" i="13" s="1"/>
  <c r="F239" i="13"/>
  <c r="G239" i="13" l="1"/>
  <c r="H239" i="13" s="1"/>
  <c r="J239" i="13" s="1"/>
  <c r="D240" i="13" s="1"/>
  <c r="I240" i="13" l="1"/>
  <c r="K240" i="13" s="1"/>
  <c r="F240" i="13"/>
  <c r="G240" i="13" l="1"/>
  <c r="H240" i="13" s="1"/>
  <c r="J240" i="13" s="1"/>
  <c r="D241" i="13" s="1"/>
  <c r="F241" i="13" l="1"/>
  <c r="I241" i="13"/>
  <c r="K241" i="13" s="1"/>
  <c r="G241" i="13" l="1"/>
  <c r="H241" i="13" s="1"/>
  <c r="J241" i="13" s="1"/>
  <c r="D242" i="13" s="1"/>
  <c r="I242" i="13" l="1"/>
  <c r="K242" i="13" s="1"/>
  <c r="F242" i="13"/>
  <c r="G242" i="13" l="1"/>
  <c r="H242" i="13" s="1"/>
  <c r="J242" i="13" s="1"/>
  <c r="D243" i="13" s="1"/>
  <c r="I243" i="13" l="1"/>
  <c r="K243" i="13" s="1"/>
  <c r="F243" i="13"/>
  <c r="G243" i="13" l="1"/>
  <c r="H243" i="13" s="1"/>
  <c r="J243" i="13" s="1"/>
  <c r="D244" i="13" s="1"/>
  <c r="I244" i="13" l="1"/>
  <c r="K244" i="13" s="1"/>
  <c r="F244" i="13"/>
  <c r="G244" i="13" l="1"/>
  <c r="H244" i="13" s="1"/>
  <c r="J244" i="13" s="1"/>
  <c r="D245" i="13" s="1"/>
  <c r="I245" i="13" l="1"/>
  <c r="K245" i="13" s="1"/>
  <c r="F245" i="13"/>
  <c r="G245" i="13" l="1"/>
  <c r="H245" i="13" s="1"/>
  <c r="J245" i="13" s="1"/>
  <c r="D246" i="13" s="1"/>
  <c r="F246" i="13" l="1"/>
  <c r="I246" i="13"/>
  <c r="K246" i="13" s="1"/>
  <c r="G246" i="13" l="1"/>
  <c r="H246" i="13" s="1"/>
  <c r="J246" i="13" s="1"/>
  <c r="D247" i="13" s="1"/>
  <c r="F247" i="13" l="1"/>
  <c r="I247" i="13"/>
  <c r="K247" i="13" s="1"/>
  <c r="G247" i="13" l="1"/>
  <c r="H247" i="13" s="1"/>
  <c r="J247" i="13" s="1"/>
  <c r="D248" i="13" s="1"/>
  <c r="I248" i="13" l="1"/>
  <c r="K248" i="13" s="1"/>
  <c r="F248" i="13"/>
  <c r="G248" i="13" l="1"/>
  <c r="H248" i="13" s="1"/>
  <c r="J248" i="13" s="1"/>
  <c r="D249" i="13" s="1"/>
  <c r="I249" i="13" l="1"/>
  <c r="K249" i="13" s="1"/>
  <c r="F249" i="13"/>
  <c r="G249" i="13" l="1"/>
  <c r="H249" i="13" s="1"/>
  <c r="J249" i="13" s="1"/>
  <c r="D250" i="13" s="1"/>
  <c r="I250" i="13" l="1"/>
  <c r="K250" i="13" s="1"/>
  <c r="F250" i="13"/>
  <c r="G250" i="13" l="1"/>
  <c r="H250" i="13" s="1"/>
  <c r="J250" i="13" s="1"/>
  <c r="D251" i="13" s="1"/>
  <c r="I251" i="13" l="1"/>
  <c r="K251" i="13" s="1"/>
  <c r="F251" i="13"/>
  <c r="G251" i="13" l="1"/>
  <c r="H251" i="13" s="1"/>
  <c r="J251" i="13" s="1"/>
  <c r="D252" i="13" s="1"/>
  <c r="I252" i="13" l="1"/>
  <c r="K252" i="13" s="1"/>
  <c r="F252" i="13"/>
  <c r="G252" i="13" l="1"/>
  <c r="H252" i="13" s="1"/>
  <c r="J252" i="13" s="1"/>
  <c r="D253" i="13" s="1"/>
  <c r="I253" i="13" l="1"/>
  <c r="F253" i="13"/>
  <c r="G253" i="13" l="1"/>
  <c r="H253" i="13" s="1"/>
  <c r="J253" i="13" s="1"/>
  <c r="G8" i="13" s="1"/>
  <c r="G9" i="13"/>
  <c r="K253" i="13"/>
  <c r="G10" i="13"/>
</calcChain>
</file>

<file path=xl/sharedStrings.xml><?xml version="1.0" encoding="utf-8"?>
<sst xmlns="http://schemas.openxmlformats.org/spreadsheetml/2006/main" count="315" uniqueCount="257">
  <si>
    <t>Miete, Steuern, Rücklagen</t>
  </si>
  <si>
    <t>Bewirtschaftungskosten</t>
  </si>
  <si>
    <t>Finanzierung</t>
  </si>
  <si>
    <t>Soll-Miete pro Monat</t>
  </si>
  <si>
    <t>Gesamt-Finanzierung</t>
  </si>
  <si>
    <t>Darlehenssumme</t>
  </si>
  <si>
    <t>Eigenkapital</t>
  </si>
  <si>
    <t>Wohnfläche</t>
  </si>
  <si>
    <t>+ Stellplätze</t>
  </si>
  <si>
    <t>Insgesamt</t>
  </si>
  <si>
    <t>Kaufpreis und Kaufnebenkosten</t>
  </si>
  <si>
    <t>Kapitaldienst pro Monat</t>
  </si>
  <si>
    <t>Nettokaltmiete pro Jahr</t>
  </si>
  <si>
    <t>+ Umlagefähige Kosten</t>
  </si>
  <si>
    <t>Bruttomietrendite</t>
  </si>
  <si>
    <t>Makler</t>
  </si>
  <si>
    <t>Nettomietrendite</t>
  </si>
  <si>
    <t>Notar</t>
  </si>
  <si>
    <t>Grundbuch Amt</t>
  </si>
  <si>
    <t>Steuern</t>
  </si>
  <si>
    <t>Zinssatz</t>
  </si>
  <si>
    <t>Grunderwerbssteuer</t>
  </si>
  <si>
    <t>AfA Satz</t>
  </si>
  <si>
    <t>Grundsteuer</t>
  </si>
  <si>
    <t>Anfängliche Tilgung</t>
  </si>
  <si>
    <t>Warmmiete</t>
  </si>
  <si>
    <t>Sonstige</t>
  </si>
  <si>
    <t>Anteil Gebäude an Kaufpreis</t>
  </si>
  <si>
    <t>Summe</t>
  </si>
  <si>
    <t>Basis für langfristige Abschreibung</t>
  </si>
  <si>
    <t>- Zinsen</t>
  </si>
  <si>
    <t>- Tilgung</t>
  </si>
  <si>
    <t>Anfängliche Investitionen</t>
  </si>
  <si>
    <t>= Cashflow operativ</t>
  </si>
  <si>
    <t>Kosten</t>
  </si>
  <si>
    <t>Nebenrechnung Steuer (Monatsbasis)</t>
  </si>
  <si>
    <t>= Summe</t>
  </si>
  <si>
    <t>Gesamtinvestitionskosten</t>
  </si>
  <si>
    <t>- Abschreibung (AfA)</t>
  </si>
  <si>
    <t>Kaufpreis</t>
  </si>
  <si>
    <t>= Steuern</t>
  </si>
  <si>
    <t>Darlehen</t>
  </si>
  <si>
    <t>Eigenkapitalrendite</t>
  </si>
  <si>
    <t>Eigenkapitalrendite p.a.</t>
  </si>
  <si>
    <t>Investition</t>
  </si>
  <si>
    <t>Rentabilität</t>
  </si>
  <si>
    <t>Objektdetails</t>
  </si>
  <si>
    <t>Erwartete Mieteinkünfte</t>
  </si>
  <si>
    <t>Nettokaltmiete</t>
  </si>
  <si>
    <t>Kaufpreis pro qm</t>
  </si>
  <si>
    <t>Annahme Zinsen</t>
  </si>
  <si>
    <t>Kaufpreis Multiplikator</t>
  </si>
  <si>
    <t>Kapitalbedarf</t>
  </si>
  <si>
    <t>Kaufnebenkosten</t>
  </si>
  <si>
    <t>= monatlicher Cashflow</t>
  </si>
  <si>
    <t>Annuität</t>
  </si>
  <si>
    <t>Einnahmen</t>
  </si>
  <si>
    <t>Ausgaben</t>
  </si>
  <si>
    <t>Schwellwerte für Kennzahlen-Farben</t>
  </si>
  <si>
    <t>Kennzahl</t>
  </si>
  <si>
    <t>Grün</t>
  </si>
  <si>
    <t>Gelb</t>
  </si>
  <si>
    <t>Rot</t>
  </si>
  <si>
    <t>Cashflow operativ</t>
  </si>
  <si>
    <t>Kennzahlen</t>
  </si>
  <si>
    <t>Zinssatz ausgehandelt; effektiv</t>
  </si>
  <si>
    <t>Zinsanstieg n. Zinsbindung</t>
  </si>
  <si>
    <t>Tilgungsdauer in Jahren</t>
  </si>
  <si>
    <t>Zinsbindung</t>
  </si>
  <si>
    <t>Persönlicher Grenzsteuersatz</t>
  </si>
  <si>
    <t>Baujahr</t>
  </si>
  <si>
    <t>xxx</t>
  </si>
  <si>
    <t>└ pro m²</t>
  </si>
  <si>
    <t>└ entspricht % der Nettokaltmiete</t>
  </si>
  <si>
    <t>Annuität pro Monat</t>
  </si>
  <si>
    <t>Gesamtzinsdelta</t>
  </si>
  <si>
    <t>FK</t>
  </si>
  <si>
    <t>Nebenkostenüberdeckung (d. EK):</t>
  </si>
  <si>
    <t>EK-Quote:</t>
  </si>
  <si>
    <t>Anzahl Zahlungen pro Jahr</t>
  </si>
  <si>
    <t>Gesamtzinsen:</t>
  </si>
  <si>
    <t>Ist-Miete pro Monat</t>
  </si>
  <si>
    <t>Kaltmiete</t>
  </si>
  <si>
    <t>Warmmiete (Ist)</t>
  </si>
  <si>
    <t>= zu versteuerndes Einkommen AVV</t>
  </si>
  <si>
    <t>Zinsen (Zinsbindung)</t>
  </si>
  <si>
    <t>Darlehen (Details)</t>
  </si>
  <si>
    <t>Zinsen (Tilgungsdauer)</t>
  </si>
  <si>
    <t>Zinsen (Erhöhung n. Bindungse.)</t>
  </si>
  <si>
    <t>Eigenkapitalwirkung:</t>
  </si>
  <si>
    <t>Wirkung Zinsveränderung:</t>
  </si>
  <si>
    <t>= Warmmiete (Ist)</t>
  </si>
  <si>
    <t>= Warmmiete (Soll)</t>
  </si>
  <si>
    <t>xxxxxxxxx</t>
  </si>
  <si>
    <t>xxxxxxxxxxxxx</t>
  </si>
  <si>
    <t>xxxxxxxxxxxxxxxxxxxxxxxxxxxxxxx</t>
  </si>
  <si>
    <t>xxxxxxx</t>
  </si>
  <si>
    <t>xxxxxxxxxxxxxxxxxxxxxxxxxxxxx</t>
  </si>
  <si>
    <t>xxxxx</t>
  </si>
  <si>
    <t>xxxxxxxxxxxxxxxxxxxxxxxxxxxxxx</t>
  </si>
  <si>
    <t>xxxxxx</t>
  </si>
  <si>
    <t>Brutto-Mietrendite (Gesamtinvest)</t>
  </si>
  <si>
    <t>Netto-Mietrendite (Gesamtinvest)</t>
  </si>
  <si>
    <t>xxxxxxxxxxxxxxxxxxxxxxxxx</t>
  </si>
  <si>
    <t>xxxxxxxxxx</t>
  </si>
  <si>
    <t>xxxxxxxxxxxxxxxxxxxxx</t>
  </si>
  <si>
    <t>xx</t>
  </si>
  <si>
    <t>Rendite</t>
  </si>
  <si>
    <t>Faktor (Jahreskaltmieten)</t>
  </si>
  <si>
    <t>Gesamtkapitalrendite p.a.</t>
  </si>
  <si>
    <t>Nettokaltmiete (Wohnung)</t>
  </si>
  <si>
    <t>Nettokaltmiete (Gesamt)</t>
  </si>
  <si>
    <t>Eigenkapitaleinsatz</t>
  </si>
  <si>
    <t>Objektfinanzierungsquote</t>
  </si>
  <si>
    <t>Eigenkapital für Kaufpreis</t>
  </si>
  <si>
    <t>└ Kaltmiete Wohnfläche pro qm</t>
  </si>
  <si>
    <t>Position</t>
  </si>
  <si>
    <t>Investition Raum 1</t>
  </si>
  <si>
    <t>Investition Raum 2</t>
  </si>
  <si>
    <t>Investition Sonstiges</t>
  </si>
  <si>
    <t>von Kaufpreis</t>
  </si>
  <si>
    <t>15% Grenze (sofortige Absetzbarkeit):</t>
  </si>
  <si>
    <t>Monatlicher Cashflow</t>
  </si>
  <si>
    <t>+ Nebenkostenvorauszahlung Mieter</t>
  </si>
  <si>
    <t>Nebenkostenvorauszahlung Mieter</t>
  </si>
  <si>
    <t>DARLEHENSÜBERSICHT</t>
  </si>
  <si>
    <t>Darlehensbetrag</t>
  </si>
  <si>
    <t>Planmäßige Zahlung</t>
  </si>
  <si>
    <t>Jährliche Verzinsung</t>
  </si>
  <si>
    <t>Planmäßige Anzahl der Zahlungen</t>
  </si>
  <si>
    <t>Darlehenslaufzeit in Jahren</t>
  </si>
  <si>
    <t>Tatsächliche Anzahl der Zahlungen</t>
  </si>
  <si>
    <t>Anzahl der Zahlungen pro Jahr</t>
  </si>
  <si>
    <t>Summe vorzeitiger Zahlungen</t>
  </si>
  <si>
    <t>Anfangsdatum des Darlehens</t>
  </si>
  <si>
    <t>Zinsen gesamt</t>
  </si>
  <si>
    <t>Optionale Sonderzahlungen</t>
  </si>
  <si>
    <t>ZAHLUNGSTERMIN</t>
  </si>
  <si>
    <t>ANFANGSSALDO</t>
  </si>
  <si>
    <t>SONDERZAHLUNG</t>
  </si>
  <si>
    <t>GESAMTZAHLUNG</t>
  </si>
  <si>
    <t>KAPITAL</t>
  </si>
  <si>
    <t>ZINSEN</t>
  </si>
  <si>
    <t>ENDSALDO</t>
  </si>
  <si>
    <t>EK</t>
  </si>
  <si>
    <t>Baujahr der Immobilie</t>
  </si>
  <si>
    <t>AFA v. Gebäude</t>
  </si>
  <si>
    <t>Objektbewertung (von KP)</t>
  </si>
  <si>
    <t>Renovierungsanteil Aufwertung</t>
  </si>
  <si>
    <t>Investition Bad 1</t>
  </si>
  <si>
    <t>Investition Bad 2</t>
  </si>
  <si>
    <t>Investition Raum 3</t>
  </si>
  <si>
    <t>Investition Raum 4</t>
  </si>
  <si>
    <t>Objekt</t>
  </si>
  <si>
    <t>Gebäudeanteil am Kaufpreis</t>
  </si>
  <si>
    <t>Erwerbsnebenkosten</t>
  </si>
  <si>
    <t>Gesamt in Euro</t>
  </si>
  <si>
    <t>Renovierung (aus zus. Eigenkapital)</t>
  </si>
  <si>
    <t>Mieteinnahmen (Kaltmiete)</t>
  </si>
  <si>
    <t>Zinsbindung in Jahren</t>
  </si>
  <si>
    <t>└ Zinsanstieg nach Zinsbindung</t>
  </si>
  <si>
    <t>Investition Bäder</t>
  </si>
  <si>
    <t>Investition Räume</t>
  </si>
  <si>
    <t>Grundsteuer B (p. Quartal)</t>
  </si>
  <si>
    <t>Anfängliche Tilgung (Tilgung im 1. Jahr)</t>
  </si>
  <si>
    <t>Netto-Kaltmiete (Basis) pro Jahr</t>
  </si>
  <si>
    <t>Butto-Kaltmiete (Basis) pro Jahr</t>
  </si>
  <si>
    <t>└ Zinsen über Tilgungsdauer ∑</t>
  </si>
  <si>
    <t>Hausgeldvorauszahlung Vermieter</t>
  </si>
  <si>
    <t>= Kaltmiete (Gesamt)</t>
  </si>
  <si>
    <t>Cashflow pro Monat</t>
  </si>
  <si>
    <t>Zahlungen (Plan)</t>
  </si>
  <si>
    <t>Übersicht Darlehen</t>
  </si>
  <si>
    <t>Allgemein</t>
  </si>
  <si>
    <t>#</t>
  </si>
  <si>
    <t>Investitionsübersicht:</t>
  </si>
  <si>
    <t>└ Annuität (mtl.)</t>
  </si>
  <si>
    <t>└ davon Renovierung</t>
  </si>
  <si>
    <t>Objekt / Invest:</t>
  </si>
  <si>
    <t>└ davon Zinsen (anfänglich)</t>
  </si>
  <si>
    <t>└ davon Tilgung (anfänglich)</t>
  </si>
  <si>
    <t>Meine Immobilie</t>
  </si>
  <si>
    <t>Objektdaten</t>
  </si>
  <si>
    <t>Name</t>
  </si>
  <si>
    <t>xxxxxxxxxxxxxxxxxxxxxxxxxxx</t>
  </si>
  <si>
    <t>Erklärung</t>
  </si>
  <si>
    <t>xxxxxxxxxxxxxxxxxxxxxxxxxxxxxxxxxxxxxxxxxxxxxxxxxxx</t>
  </si>
  <si>
    <t>Gesamt</t>
  </si>
  <si>
    <t>Renovierung</t>
  </si>
  <si>
    <t>Kaltmiete pro Monat</t>
  </si>
  <si>
    <t>Stellplätze pro Monat</t>
  </si>
  <si>
    <t>Hausgeld an Hausverwaltung</t>
  </si>
  <si>
    <t>Nebenkosten-Vorauszahlung (Mieter)</t>
  </si>
  <si>
    <t>Hausgeld (umlagefähig)</t>
  </si>
  <si>
    <t>Hausgeld (nicht umlagefähig)</t>
  </si>
  <si>
    <t>└ Heizung / Warmwasser</t>
  </si>
  <si>
    <t>└ Müllabfuhr</t>
  </si>
  <si>
    <t>└ Hauswart &amp; Hausreinigung</t>
  </si>
  <si>
    <t>└ Gebäudeversicherung</t>
  </si>
  <si>
    <t>└ Sonstiges</t>
  </si>
  <si>
    <t>└  Verwaltung</t>
  </si>
  <si>
    <t>└ Instandhalt.-Rücklage</t>
  </si>
  <si>
    <t>└ Reparaturen</t>
  </si>
  <si>
    <t>Hausgeld (umlagefähig pro Monat)</t>
  </si>
  <si>
    <t>Hausgeld (nicht umlagefähig pro Monat)</t>
  </si>
  <si>
    <t>Betriebskosten pro Monat</t>
  </si>
  <si>
    <t>Cashflow aus Betriebskosten pro Monat</t>
  </si>
  <si>
    <t>Instandhaltungsrücklage</t>
  </si>
  <si>
    <t>Rücklage</t>
  </si>
  <si>
    <t>- Nicht umlagefähige Bew.-Kosten</t>
  </si>
  <si>
    <r>
      <t xml:space="preserve">Darlehen (Grenzwerte &amp; </t>
    </r>
    <r>
      <rPr>
        <sz val="10"/>
        <color theme="0"/>
        <rFont val="Bierstadt"/>
        <family val="2"/>
      </rPr>
      <t>∆</t>
    </r>
    <r>
      <rPr>
        <b/>
        <sz val="10"/>
        <color theme="0"/>
        <rFont val="Bierstadt"/>
        <family val="2"/>
      </rPr>
      <t>)</t>
    </r>
  </si>
  <si>
    <t>- Bewirtschaftungskosten &amp; Grundst.</t>
  </si>
  <si>
    <t>xxxxxxxxxxxxxxxxxxxxxxxxxxxxxxxx</t>
  </si>
  <si>
    <t>xxxxxxxxxxxxxxxxxxxxxxxxxxxxxxxxxxx</t>
  </si>
  <si>
    <t>xxxxxxxxxxxxxxxxxxxxxxxxxxxxxxxxxxxxxxxxxxxxxxxx</t>
  </si>
  <si>
    <t>xxxxxxxxxxxxxxxx</t>
  </si>
  <si>
    <t>xxxxxxxxxxxx</t>
  </si>
  <si>
    <t>ZINSEN (kumiliert)</t>
  </si>
  <si>
    <t>Namen vergeben</t>
  </si>
  <si>
    <t>Wohnfläche in Quadratmetern</t>
  </si>
  <si>
    <t>Kaufpreis ohne Erwerbsnebenkosten</t>
  </si>
  <si>
    <t>Eigenkapital, welches eingebracht wird</t>
  </si>
  <si>
    <t>Zusätzliches Eigenkapital mit Verwendung für Renovierungsmaßnahmen</t>
  </si>
  <si>
    <t>xxxxxxxxxxxxxxxxx</t>
  </si>
  <si>
    <t>Erforderliches Fremdkapital (Darlehenbetrag)</t>
  </si>
  <si>
    <t>Effektiver Zinssatz der Bank</t>
  </si>
  <si>
    <t>Jahre, auf die der effektiver Zinssatz festgesetzt wird</t>
  </si>
  <si>
    <t>Tilgungsdauer, bis das Darlehen vollständig zurückgezahlt ist (ggf. Refinanzierung nach Ende der Zinsbindung erforderlich!)</t>
  </si>
  <si>
    <t>xxxxxxxxxxxxxxxxxxxxxxxxxxxxxxxxxxxxxxxxxxxxxxxxxxxxxxxxxxxxxxxxxxxxxxxxxxxxxxxxxxxxxxxxxxxxxxxxxxxxxxxxxxxxxx</t>
  </si>
  <si>
    <t>Kalkulatorischer, erwarteter Zinsanstieg nach Ende der Zinsbindung zur Refinanzierung der Restschuld</t>
  </si>
  <si>
    <t>Kosten für den Makler</t>
  </si>
  <si>
    <t>Kosten für Notar (kann variieren!)</t>
  </si>
  <si>
    <t>Kosten für Grundbucheintrag (kann variieren!)</t>
  </si>
  <si>
    <t>Steuern (kann variieren!)</t>
  </si>
  <si>
    <t>Sonstige Kosten der Verwaltung (kann variieren!)</t>
  </si>
  <si>
    <t>Gesamte Erwerbsnebenkosten, basierend auf Kaufpreis</t>
  </si>
  <si>
    <t>Gesamte Erwerbsnebenkosten in %</t>
  </si>
  <si>
    <t>Zahlungen zu Bewirtschaftungskosten</t>
  </si>
  <si>
    <t>Angenommene Kosten für entsprehende Position</t>
  </si>
  <si>
    <t>Angenommene Kosten für sonstige Position</t>
  </si>
  <si>
    <t>Gesamtbetrag des nicht umlagefähigen Hausgelds</t>
  </si>
  <si>
    <t>Gesamtbetrag des umlagefähigen Hausgelds</t>
  </si>
  <si>
    <t>Zahlung des Mieters an Vermieter</t>
  </si>
  <si>
    <t>Zahlung der Vermieters and Hausverwaltung</t>
  </si>
  <si>
    <t>Steuer auf Grundbesitz</t>
  </si>
  <si>
    <t>Objektbezeichnung</t>
  </si>
  <si>
    <t>Anzahl der Raten pro Jahr</t>
  </si>
  <si>
    <t>Die Bank wertet ein Objekt immer ab, um den effektiven Wert bei einer möglichen Zwangsveräußerung abzubilden</t>
  </si>
  <si>
    <t>Der Kaufpreis bildet nicht nur das Gebäude ab, sondern auch den Wert des Grundstücks</t>
  </si>
  <si>
    <t>Gebäude werden üblicherweise über 50 Jahre abgeschrieben; 50 Jahre x 2% = 100%</t>
  </si>
  <si>
    <t>Investition in den Raum, zwecks Sanierung / Renovierung</t>
  </si>
  <si>
    <t>Kalkulatorische Objektaufwertung durch Sanierung / Renovierung als Anteil der Investition</t>
  </si>
  <si>
    <t>Warmmiete, inkl. Nebenkostenvorauszahlung der Mieter</t>
  </si>
  <si>
    <t>Zusätzliche Mieteinnahmen für Stellplätze</t>
  </si>
  <si>
    <t>Gesamt-Investition in zwecks Sanierung / Renovierung</t>
  </si>
  <si>
    <t>Cashflow aus Bewirtschaftungskosten; effektive Zahlungsflüsse</t>
  </si>
  <si>
    <t>Mieteinnahmen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</si>
</sst>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6" formatCode="#,##0\ &quot;€&quot;;[Red]\-#,##0\ &quot;€&quot;"/>
    <numFmt numFmtId="8" formatCode="#,##0.00\ &quot;€&quot;;[Red]\-#,##0.00\ &quot;€&quot;"/>
    <numFmt numFmtId="164" formatCode="#,##0.0\ &quot;€&quot;"/>
    <numFmt numFmtId="165" formatCode="#,##0\ &quot;€&quot;"/>
    <numFmt numFmtId="166" formatCode="#,##0.0\ &quot;m²&quot;"/>
    <numFmt numFmtId="167" formatCode="0.0%"/>
    <numFmt numFmtId="168" formatCode="0.0"/>
    <numFmt numFmtId="169" formatCode="#,##0\ &quot;m²&quot;"/>
    <numFmt numFmtId="170" formatCode="_(&quot;$&quot;* #,##0.00_);_(&quot;$&quot;* \(#,##0.00\);_(&quot;$&quot;* &quot;-&quot;??_);_(@_)"/>
    <numFmt numFmtId="171" formatCode="#,##0&quot; Jahr(e)&quot;"/>
    <numFmt numFmtId="172" formatCode="#,##0\ &quot;€&quot;\ &quot;EK ≈&quot;"/>
    <numFmt numFmtId="173" formatCode="_(&quot;DM&quot;* #,##0.00_);_(&quot;DM&quot;* \(#,##0.00\);_(&quot;DM&quot;* &quot;-&quot;??_);_(@_)"/>
    <numFmt numFmtId="174" formatCode="0.00%&quot; Zinsen ≈&quot;"/>
    <numFmt numFmtId="175" formatCode="#,##0&quot; J.&quot;"/>
    <numFmt numFmtId="176" formatCode="&quot;└ Eigenkapital entsprechen &quot;0.00%&quot; Zinsen&quot;"/>
    <numFmt numFmtId="177" formatCode="0_)"/>
    <numFmt numFmtId="178" formatCode="&quot;GKR: &quot;0.00%;[Red]&quot;GKR: &quot;\-0.00%"/>
    <numFmt numFmtId="179" formatCode="#,##0.00\ &quot;€&quot;"/>
    <numFmt numFmtId="180" formatCode="\+0.00%;\-0.00%"/>
    <numFmt numFmtId="181" formatCode="\+#,##0\ &quot;€&quot;;\-#,##0\ &quot;€&quot;"/>
    <numFmt numFmtId="182" formatCode="#,##0.0"/>
    <numFmt numFmtId="183" formatCode="&quot;$&quot;#,##0.00"/>
    <numFmt numFmtId="184" formatCode="_-* #,##0.00\ [$€-407]_-;\-* #,##0.00\ [$€-407]_-;_-* &quot;-&quot;??\ [$€-407]_-;_-@_-"/>
    <numFmt numFmtId="185" formatCode="&quot;Baujahr der Immobilie: &quot;yyyy\ &quot;Alter: -&gt;&quot;"/>
    <numFmt numFmtId="186" formatCode="&quot;└ Fläche: &quot;0&quot;m²&quot;"/>
    <numFmt numFmtId="187" formatCode="#,##0&quot;m²&quot;"/>
    <numFmt numFmtId="188" formatCode="&quot;└ Gebäude: &quot;0%"/>
    <numFmt numFmtId="189" formatCode="&quot;AFA v. Gebäude:&quot;\ 0.00%"/>
    <numFmt numFmtId="190" formatCode="&quot;Objektbewertung: &quot;0.00%\ &quot;v. KP&quot;"/>
    <numFmt numFmtId="191" formatCode="0.00000%"/>
  </numFmts>
  <fonts count="38">
    <font>
      <sz val="11"/>
      <color theme="1"/>
      <name val="Calibri"/>
      <family val="2"/>
      <scheme val="minor"/>
    </font>
    <font>
      <sz val="11"/>
      <color theme="1"/>
      <name val="Bierstadt"/>
      <family val="2"/>
    </font>
    <font>
      <sz val="11"/>
      <color theme="1"/>
      <name val="Calibri"/>
      <family val="2"/>
      <scheme val="minor"/>
    </font>
    <font>
      <sz val="10"/>
      <name val="Arial"/>
      <family val="2"/>
    </font>
    <font>
      <b/>
      <sz val="11"/>
      <color theme="3"/>
      <name val="Calibri"/>
      <family val="2"/>
      <scheme val="minor"/>
    </font>
    <font>
      <b/>
      <sz val="11"/>
      <color theme="0"/>
      <name val="Calibri"/>
      <family val="2"/>
      <scheme val="minor"/>
    </font>
    <font>
      <b/>
      <sz val="16"/>
      <color theme="1" tint="0.24994659260841701"/>
      <name val="Calibri Light"/>
      <family val="2"/>
      <scheme val="major"/>
    </font>
    <font>
      <sz val="11"/>
      <name val="Calibri"/>
      <family val="2"/>
      <scheme val="minor"/>
    </font>
    <font>
      <b/>
      <sz val="11"/>
      <color theme="1" tint="0.24994659260841701"/>
      <name val="Calibri Light"/>
      <family val="2"/>
      <scheme val="major"/>
    </font>
    <font>
      <i/>
      <sz val="11"/>
      <color theme="1" tint="0.34998626667073579"/>
      <name val="Calibri"/>
      <family val="2"/>
      <scheme val="minor"/>
    </font>
    <font>
      <sz val="11"/>
      <color theme="1" tint="0.24994659260841701"/>
      <name val="Calibri"/>
      <family val="2"/>
      <scheme val="minor"/>
    </font>
    <font>
      <u/>
      <sz val="10"/>
      <color theme="10"/>
      <name val="Arial"/>
      <family val="2"/>
    </font>
    <font>
      <b/>
      <sz val="11"/>
      <color theme="1"/>
      <name val="Bierstadt"/>
      <family val="2"/>
    </font>
    <font>
      <sz val="11"/>
      <color theme="0"/>
      <name val="Bierstadt"/>
      <family val="2"/>
    </font>
    <font>
      <sz val="10"/>
      <color theme="1"/>
      <name val="Bierstadt"/>
      <family val="2"/>
    </font>
    <font>
      <sz val="8"/>
      <color theme="1"/>
      <name val="Bierstadt"/>
      <family val="2"/>
    </font>
    <font>
      <b/>
      <sz val="14"/>
      <color theme="0"/>
      <name val="Bierstadt"/>
      <family val="2"/>
    </font>
    <font>
      <sz val="14"/>
      <color theme="1"/>
      <name val="Bierstadt"/>
      <family val="2"/>
    </font>
    <font>
      <sz val="1"/>
      <color theme="1"/>
      <name val="Bierstadt"/>
      <family val="2"/>
    </font>
    <font>
      <b/>
      <sz val="10"/>
      <color theme="0"/>
      <name val="Bierstadt"/>
      <family val="2"/>
    </font>
    <font>
      <b/>
      <u/>
      <sz val="10"/>
      <color theme="1"/>
      <name val="Bierstadt"/>
      <family val="2"/>
    </font>
    <font>
      <sz val="10"/>
      <color theme="0"/>
      <name val="Bierstadt"/>
      <family val="2"/>
    </font>
    <font>
      <b/>
      <sz val="10"/>
      <color theme="1"/>
      <name val="Bierstadt"/>
      <family val="2"/>
    </font>
    <font>
      <sz val="10"/>
      <color rgb="FFFF0000"/>
      <name val="Bierstadt"/>
      <family val="2"/>
    </font>
    <font>
      <sz val="11"/>
      <name val="Bierstadt"/>
      <family val="2"/>
    </font>
    <font>
      <sz val="10"/>
      <name val="Bierstadt"/>
      <family val="2"/>
    </font>
    <font>
      <b/>
      <sz val="12"/>
      <name val="Bierstadt"/>
      <family val="2"/>
    </font>
    <font>
      <sz val="8"/>
      <color theme="0"/>
      <name val="Bierstadt"/>
      <family val="2"/>
    </font>
    <font>
      <sz val="16"/>
      <color theme="0"/>
      <name val="Bierstadt"/>
      <family val="2"/>
    </font>
    <font>
      <b/>
      <sz val="16"/>
      <color theme="0"/>
      <name val="Bierstadt"/>
      <family val="2"/>
    </font>
    <font>
      <b/>
      <sz val="14"/>
      <color theme="1"/>
      <name val="Bierstadt"/>
      <family val="2"/>
    </font>
    <font>
      <sz val="1"/>
      <name val="Bierstadt"/>
      <family val="2"/>
    </font>
    <font>
      <sz val="1"/>
      <color theme="0"/>
      <name val="Bierstadt"/>
      <family val="2"/>
    </font>
    <font>
      <b/>
      <sz val="10"/>
      <name val="Bierstadt"/>
      <family val="2"/>
    </font>
    <font>
      <b/>
      <sz val="16"/>
      <color theme="1" tint="0.24994659260841701"/>
      <name val="Bierstadt"/>
      <family val="2"/>
    </font>
    <font>
      <b/>
      <sz val="11"/>
      <color theme="1" tint="0.24994659260841701"/>
      <name val="Bierstadt"/>
      <family val="2"/>
    </font>
    <font>
      <b/>
      <sz val="12"/>
      <color theme="0"/>
      <name val="Bierstadt"/>
      <family val="2"/>
    </font>
    <font>
      <sz val="11"/>
      <color theme="0" tint="-4.9989318521683403E-2"/>
      <name val="Bierstadt"/>
      <family val="2"/>
    </font>
  </fonts>
  <fills count="18">
    <fill>
      <patternFill patternType="none"/>
    </fill>
    <fill>
      <patternFill patternType="gray125"/>
    </fill>
    <fill>
      <patternFill patternType="solid">
        <fgColor rgb="FFFBFFFD"/>
        <bgColor indexed="64"/>
      </patternFill>
    </fill>
    <fill>
      <patternFill patternType="solid">
        <fgColor theme="0"/>
        <bgColor indexed="64"/>
      </patternFill>
    </fill>
    <fill>
      <patternFill patternType="solid">
        <fgColor rgb="FF63BE7B"/>
        <bgColor indexed="64"/>
      </patternFill>
    </fill>
    <fill>
      <patternFill patternType="solid">
        <fgColor rgb="FFFFEB84"/>
        <bgColor indexed="64"/>
      </patternFill>
    </fill>
    <fill>
      <patternFill patternType="solid">
        <fgColor rgb="FFF8696B"/>
        <bgColor indexed="64"/>
      </patternFill>
    </fill>
    <fill>
      <patternFill patternType="solid">
        <fgColor theme="2" tint="-0.749992370372631"/>
        <bgColor indexed="64"/>
      </patternFill>
    </fill>
    <fill>
      <patternFill patternType="solid">
        <fgColor indexed="9"/>
        <bgColor indexed="64"/>
      </patternFill>
    </fill>
    <fill>
      <patternFill patternType="solid">
        <fgColor rgb="FFFFFF00"/>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0" tint="-0.14996795556505021"/>
        <bgColor indexed="64"/>
      </patternFill>
    </fill>
    <fill>
      <patternFill patternType="solid">
        <fgColor rgb="FFFF0000"/>
        <bgColor indexed="64"/>
      </patternFill>
    </fill>
  </fills>
  <borders count="10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medium">
        <color theme="3"/>
      </top>
      <bottom/>
      <diagonal/>
    </border>
    <border>
      <left style="thin">
        <color theme="0" tint="-0.249977111117893"/>
      </left>
      <right/>
      <top style="medium">
        <color theme="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right/>
      <top/>
      <bottom style="dotted">
        <color theme="3"/>
      </bottom>
      <diagonal/>
    </border>
    <border>
      <left style="thin">
        <color theme="0" tint="-0.249977111117893"/>
      </left>
      <right style="thin">
        <color theme="0" tint="-0.249977111117893"/>
      </right>
      <top/>
      <bottom style="thin">
        <color theme="0" tint="-0.249977111117893"/>
      </bottom>
      <diagonal/>
    </border>
    <border>
      <left style="medium">
        <color auto="1"/>
      </left>
      <right style="thin">
        <color theme="0" tint="-0.249977111117893"/>
      </right>
      <top style="medium">
        <color theme="3"/>
      </top>
      <bottom style="thin">
        <color theme="0" tint="-0.249977111117893"/>
      </bottom>
      <diagonal/>
    </border>
    <border>
      <left/>
      <right style="medium">
        <color auto="1"/>
      </right>
      <top style="medium">
        <color theme="3"/>
      </top>
      <bottom style="thin">
        <color theme="0" tint="-0.249977111117893"/>
      </bottom>
      <diagonal/>
    </border>
    <border>
      <left/>
      <right style="medium">
        <color auto="1"/>
      </right>
      <top style="thin">
        <color theme="0" tint="-0.249977111117893"/>
      </top>
      <bottom style="thin">
        <color theme="0" tint="-0.249977111117893"/>
      </bottom>
      <diagonal/>
    </border>
    <border>
      <left style="medium">
        <color auto="1"/>
      </left>
      <right style="thin">
        <color theme="0" tint="-0.249977111117893"/>
      </right>
      <top style="thin">
        <color theme="0" tint="-0.249977111117893"/>
      </top>
      <bottom style="medium">
        <color auto="1"/>
      </bottom>
      <diagonal/>
    </border>
    <border>
      <left/>
      <right style="thin">
        <color theme="0" tint="-0.249977111117893"/>
      </right>
      <top style="thin">
        <color theme="0" tint="-0.249977111117893"/>
      </top>
      <bottom style="medium">
        <color auto="1"/>
      </bottom>
      <diagonal/>
    </border>
    <border>
      <left style="thin">
        <color theme="0" tint="-0.249977111117893"/>
      </left>
      <right style="thin">
        <color theme="0" tint="-0.249977111117893"/>
      </right>
      <top style="thin">
        <color theme="0" tint="-0.249977111117893"/>
      </top>
      <bottom style="medium">
        <color auto="1"/>
      </bottom>
      <diagonal/>
    </border>
    <border>
      <left/>
      <right style="medium">
        <color auto="1"/>
      </right>
      <top style="thin">
        <color theme="0" tint="-0.249977111117893"/>
      </top>
      <bottom style="medium">
        <color auto="1"/>
      </bottom>
      <diagonal/>
    </border>
    <border>
      <left style="thin">
        <color theme="0" tint="-0.249977111117893"/>
      </left>
      <right style="medium">
        <color auto="1"/>
      </right>
      <top style="medium">
        <color theme="3"/>
      </top>
      <bottom style="thin">
        <color theme="0" tint="-0.249977111117893"/>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theme="0" tint="-0.249977111117893"/>
      </right>
      <top/>
      <bottom style="thin">
        <color theme="0" tint="-0.249977111117893"/>
      </bottom>
      <diagonal/>
    </border>
    <border>
      <left style="medium">
        <color auto="1"/>
      </left>
      <right style="thin">
        <color theme="0" tint="-0.249977111117893"/>
      </right>
      <top style="medium">
        <color auto="1"/>
      </top>
      <bottom style="medium">
        <color auto="1"/>
      </bottom>
      <diagonal/>
    </border>
    <border>
      <left style="thin">
        <color theme="0" tint="-0.249977111117893"/>
      </left>
      <right style="medium">
        <color auto="1"/>
      </right>
      <top style="medium">
        <color auto="1"/>
      </top>
      <bottom style="medium">
        <color auto="1"/>
      </bottom>
      <diagonal/>
    </border>
    <border>
      <left style="medium">
        <color auto="1"/>
      </left>
      <right/>
      <top style="thin">
        <color theme="0" tint="-0.249977111117893"/>
      </top>
      <bottom style="thin">
        <color theme="0" tint="-0.249977111117893"/>
      </bottom>
      <diagonal/>
    </border>
    <border>
      <left style="medium">
        <color auto="1"/>
      </left>
      <right style="thin">
        <color theme="0" tint="-0.249977111117893"/>
      </right>
      <top/>
      <bottom style="medium">
        <color auto="1"/>
      </bottom>
      <diagonal/>
    </border>
    <border>
      <left style="thin">
        <color theme="0" tint="-0.249977111117893"/>
      </left>
      <right style="medium">
        <color auto="1"/>
      </right>
      <top/>
      <bottom style="medium">
        <color auto="1"/>
      </bottom>
      <diagonal/>
    </border>
    <border>
      <left style="medium">
        <color auto="1"/>
      </left>
      <right/>
      <top style="medium">
        <color theme="3"/>
      </top>
      <bottom/>
      <diagonal/>
    </border>
    <border>
      <left style="thin">
        <color theme="0" tint="-0.249977111117893"/>
      </left>
      <right style="thin">
        <color theme="0" tint="-0.249977111117893"/>
      </right>
      <top style="medium">
        <color auto="1"/>
      </top>
      <bottom style="medium">
        <color auto="1"/>
      </bottom>
      <diagonal/>
    </border>
    <border>
      <left style="medium">
        <color theme="2" tint="-0.749961851863155"/>
      </left>
      <right/>
      <top/>
      <bottom style="thin">
        <color theme="0" tint="-0.249977111117893"/>
      </bottom>
      <diagonal/>
    </border>
    <border>
      <left style="thin">
        <color theme="0" tint="-0.249977111117893"/>
      </left>
      <right style="medium">
        <color theme="2" tint="-0.749961851863155"/>
      </right>
      <top/>
      <bottom style="thin">
        <color theme="0" tint="-0.249977111117893"/>
      </bottom>
      <diagonal/>
    </border>
    <border>
      <left style="medium">
        <color theme="2" tint="-0.749961851863155"/>
      </left>
      <right style="thin">
        <color theme="0" tint="-0.249977111117893"/>
      </right>
      <top style="thin">
        <color theme="0" tint="-0.249977111117893"/>
      </top>
      <bottom/>
      <diagonal/>
    </border>
    <border>
      <left style="medium">
        <color theme="2" tint="-0.749961851863155"/>
      </left>
      <right style="thin">
        <color theme="0" tint="-0.249977111117893"/>
      </right>
      <top style="thin">
        <color theme="0" tint="-0.249977111117893"/>
      </top>
      <bottom style="medium">
        <color theme="2" tint="-0.749961851863155"/>
      </bottom>
      <diagonal/>
    </border>
    <border>
      <left style="thin">
        <color theme="0" tint="-0.249977111117893"/>
      </left>
      <right style="medium">
        <color theme="2" tint="-0.749961851863155"/>
      </right>
      <top style="thin">
        <color theme="0" tint="-0.249977111117893"/>
      </top>
      <bottom style="medium">
        <color theme="2" tint="-0.749961851863155"/>
      </bottom>
      <diagonal/>
    </border>
    <border>
      <left style="medium">
        <color theme="2" tint="-0.749961851863155"/>
      </left>
      <right/>
      <top style="medium">
        <color theme="2" tint="-0.749961851863155"/>
      </top>
      <bottom style="medium">
        <color theme="2" tint="-0.749961851863155"/>
      </bottom>
      <diagonal/>
    </border>
    <border>
      <left/>
      <right/>
      <top style="medium">
        <color theme="2" tint="-0.749961851863155"/>
      </top>
      <bottom style="medium">
        <color theme="2" tint="-0.749961851863155"/>
      </bottom>
      <diagonal/>
    </border>
    <border>
      <left/>
      <right style="medium">
        <color theme="2" tint="-0.749961851863155"/>
      </right>
      <top style="medium">
        <color theme="2" tint="-0.749961851863155"/>
      </top>
      <bottom style="medium">
        <color theme="2" tint="-0.7499618518631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style="thin">
        <color theme="0" tint="-0.249977111117893"/>
      </right>
      <top style="thin">
        <color theme="0" tint="-0.249977111117893"/>
      </top>
      <bottom style="thin">
        <color theme="0" tint="-0.24994659260841701"/>
      </bottom>
      <diagonal/>
    </border>
    <border>
      <left style="thin">
        <color theme="0" tint="-0.249977111117893"/>
      </left>
      <right style="medium">
        <color auto="1"/>
      </right>
      <top style="thin">
        <color theme="0" tint="-0.249977111117893"/>
      </top>
      <bottom style="thin">
        <color theme="0" tint="-0.24994659260841701"/>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auto="1"/>
      </right>
      <top style="thin">
        <color theme="0" tint="-0.249977111117893"/>
      </top>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auto="1"/>
      </left>
      <right style="thin">
        <color theme="0" tint="-0.249977111117893"/>
      </right>
      <top/>
      <bottom style="medium">
        <color theme="3"/>
      </bottom>
      <diagonal/>
    </border>
    <border>
      <left style="thin">
        <color theme="0" tint="-0.249977111117893"/>
      </left>
      <right style="medium">
        <color auto="1"/>
      </right>
      <top/>
      <bottom style="medium">
        <color theme="3"/>
      </bottom>
      <diagonal/>
    </border>
    <border>
      <left style="medium">
        <color auto="1"/>
      </left>
      <right style="thin">
        <color theme="0" tint="-0.249977111117893"/>
      </right>
      <top style="thin">
        <color theme="0" tint="-0.249977111117893"/>
      </top>
      <bottom style="double">
        <color theme="0" tint="-0.24994659260841701"/>
      </bottom>
      <diagonal/>
    </border>
    <border>
      <left style="thin">
        <color theme="0" tint="-0.249977111117893"/>
      </left>
      <right style="medium">
        <color indexed="64"/>
      </right>
      <top style="thin">
        <color theme="0" tint="-0.249977111117893"/>
      </top>
      <bottom style="double">
        <color theme="0" tint="-0.24994659260841701"/>
      </bottom>
      <diagonal/>
    </border>
    <border>
      <left/>
      <right style="medium">
        <color auto="1"/>
      </right>
      <top/>
      <bottom/>
      <diagonal/>
    </border>
    <border>
      <left style="thin">
        <color theme="0" tint="-0.24994659260841701"/>
      </left>
      <right style="medium">
        <color auto="1"/>
      </right>
      <top style="medium">
        <color auto="1"/>
      </top>
      <bottom style="medium">
        <color auto="1"/>
      </bottom>
      <diagonal/>
    </border>
    <border>
      <left/>
      <right style="medium">
        <color indexed="64"/>
      </right>
      <top/>
      <bottom style="thin">
        <color theme="0" tint="-0.249977111117893"/>
      </bottom>
      <diagonal/>
    </border>
    <border>
      <left/>
      <right style="medium">
        <color indexed="64"/>
      </right>
      <top/>
      <bottom style="medium">
        <color indexed="64"/>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auto="1"/>
      </left>
      <right style="thin">
        <color theme="0" tint="-0.249977111117893"/>
      </right>
      <top style="medium">
        <color auto="1"/>
      </top>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medium">
        <color indexed="64"/>
      </right>
      <top style="medium">
        <color auto="1"/>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top style="medium">
        <color auto="1"/>
      </top>
      <bottom style="thin">
        <color theme="0" tint="-0.24994659260841701"/>
      </bottom>
      <diagonal/>
    </border>
    <border>
      <left/>
      <right style="thin">
        <color theme="0" tint="-0.24994659260841701"/>
      </right>
      <top style="medium">
        <color auto="1"/>
      </top>
      <bottom style="thin">
        <color theme="0" tint="-0.24994659260841701"/>
      </bottom>
      <diagonal/>
    </border>
    <border>
      <left style="medium">
        <color auto="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medium">
        <color auto="1"/>
      </right>
      <top style="thin">
        <color theme="0" tint="-0.24994659260841701"/>
      </top>
      <bottom style="double">
        <color theme="0" tint="-0.24994659260841701"/>
      </bottom>
      <diagonal/>
    </border>
    <border>
      <left style="medium">
        <color auto="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auto="1"/>
      </right>
      <top/>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medium">
        <color indexed="64"/>
      </left>
      <right style="thin">
        <color theme="0" tint="-0.249977111117893"/>
      </right>
      <top style="thin">
        <color theme="0" tint="-0.249977111117893"/>
      </top>
      <bottom style="double">
        <color theme="0" tint="-0.249977111117893"/>
      </bottom>
      <diagonal/>
    </border>
    <border>
      <left/>
      <right style="medium">
        <color indexed="64"/>
      </right>
      <top style="thin">
        <color theme="0" tint="-0.249977111117893"/>
      </top>
      <bottom style="double">
        <color theme="0" tint="-0.249977111117893"/>
      </bottom>
      <diagonal/>
    </border>
    <border>
      <left style="medium">
        <color indexed="64"/>
      </left>
      <right style="thin">
        <color theme="0" tint="-0.249977111117893"/>
      </right>
      <top/>
      <bottom/>
      <diagonal/>
    </border>
    <border>
      <left style="medium">
        <color indexed="64"/>
      </left>
      <right style="thin">
        <color theme="0" tint="-0.249977111117893"/>
      </right>
      <top/>
      <bottom style="medium">
        <color theme="2" tint="-0.749961851863155"/>
      </bottom>
      <diagonal/>
    </border>
    <border>
      <left/>
      <right style="medium">
        <color indexed="64"/>
      </right>
      <top/>
      <bottom style="medium">
        <color theme="2" tint="-0.749961851863155"/>
      </bottom>
      <diagonal/>
    </border>
    <border>
      <left/>
      <right style="medium">
        <color indexed="64"/>
      </right>
      <top style="thin">
        <color theme="0" tint="-0.249977111117893"/>
      </top>
      <bottom style="thin">
        <color theme="0" tint="-0.24994659260841701"/>
      </bottom>
      <diagonal/>
    </border>
    <border>
      <left style="medium">
        <color indexed="64"/>
      </left>
      <right/>
      <top style="medium">
        <color indexed="64"/>
      </top>
      <bottom style="medium">
        <color theme="3"/>
      </bottom>
      <diagonal/>
    </border>
    <border>
      <left/>
      <right/>
      <top style="medium">
        <color indexed="64"/>
      </top>
      <bottom style="medium">
        <color theme="3"/>
      </bottom>
      <diagonal/>
    </border>
    <border>
      <left/>
      <right style="medium">
        <color indexed="64"/>
      </right>
      <top style="medium">
        <color indexed="64"/>
      </top>
      <bottom style="medium">
        <color theme="3"/>
      </bottom>
      <diagonal/>
    </border>
    <border>
      <left style="medium">
        <color indexed="64"/>
      </left>
      <right/>
      <top/>
      <bottom/>
      <diagonal/>
    </border>
    <border>
      <left style="medium">
        <color indexed="64"/>
      </left>
      <right/>
      <top/>
      <bottom style="dotted">
        <color theme="3"/>
      </bottom>
      <diagonal/>
    </border>
    <border>
      <left/>
      <right style="medium">
        <color indexed="64"/>
      </right>
      <top/>
      <bottom style="dotted">
        <color theme="3"/>
      </bottom>
      <diagonal/>
    </border>
    <border>
      <left style="medium">
        <color indexed="64"/>
      </left>
      <right/>
      <top/>
      <bottom style="medium">
        <color indexed="64"/>
      </bottom>
      <diagonal/>
    </border>
    <border>
      <left/>
      <right/>
      <top/>
      <bottom style="medium">
        <color indexed="64"/>
      </bottom>
      <diagonal/>
    </border>
    <border>
      <left style="medium">
        <color theme="2" tint="-0.749961851863155"/>
      </left>
      <right style="thin">
        <color theme="0" tint="-0.249977111117893"/>
      </right>
      <top style="medium">
        <color theme="2" tint="-0.749961851863155"/>
      </top>
      <bottom/>
      <diagonal/>
    </border>
    <border>
      <left style="thin">
        <color theme="0" tint="-0.249977111117893"/>
      </left>
      <right style="thin">
        <color theme="0" tint="-0.249977111117893"/>
      </right>
      <top style="medium">
        <color theme="2" tint="-0.749961851863155"/>
      </top>
      <bottom/>
      <diagonal/>
    </border>
    <border>
      <left style="thin">
        <color theme="0" tint="-0.249977111117893"/>
      </left>
      <right style="medium">
        <color theme="2" tint="-0.749961851863155"/>
      </right>
      <top style="medium">
        <color theme="2" tint="-0.749961851863155"/>
      </top>
      <bottom/>
      <diagonal/>
    </border>
    <border>
      <left/>
      <right/>
      <top style="thin">
        <color indexed="64"/>
      </top>
      <bottom/>
      <diagonal/>
    </border>
    <border>
      <left/>
      <right/>
      <top/>
      <bottom style="thick">
        <color theme="4" tint="-0.499984740745262"/>
      </bottom>
      <diagonal/>
    </border>
    <border>
      <left/>
      <right/>
      <top/>
      <bottom style="medium">
        <color theme="4" tint="-0.499984740745262"/>
      </bottom>
      <diagonal/>
    </border>
    <border>
      <left/>
      <right/>
      <top style="thin">
        <color theme="1" tint="0.499984740745262"/>
      </top>
      <bottom style="thin">
        <color theme="1" tint="0.499984740745262"/>
      </bottom>
      <diagonal/>
    </border>
    <border>
      <left/>
      <right/>
      <top style="thin">
        <color theme="4" tint="-0.499984740745262"/>
      </top>
      <bottom style="thin">
        <color theme="4" tint="-0.499984740745262"/>
      </bottom>
      <diagonal/>
    </border>
    <border>
      <left/>
      <right/>
      <top/>
      <bottom style="thin">
        <color theme="4" tint="-0.499984740745262"/>
      </bottom>
      <diagonal/>
    </border>
    <border>
      <left/>
      <right style="thin">
        <color theme="0" tint="-0.249977111117893"/>
      </right>
      <top/>
      <bottom style="medium">
        <color auto="1"/>
      </bottom>
      <diagonal/>
    </border>
    <border>
      <left style="thin">
        <color theme="0" tint="-0.249977111117893"/>
      </left>
      <right style="thin">
        <color theme="0" tint="-0.249977111117893"/>
      </right>
      <top/>
      <bottom style="medium">
        <color auto="1"/>
      </bottom>
      <diagonal/>
    </border>
    <border>
      <left/>
      <right/>
      <top/>
      <bottom style="medium">
        <color theme="1"/>
      </bottom>
      <diagonal/>
    </border>
    <border>
      <left/>
      <right/>
      <top/>
      <bottom style="thin">
        <color theme="1" tint="0.499984740745262"/>
      </bottom>
      <diagonal/>
    </border>
    <border>
      <left/>
      <right/>
      <top style="medium">
        <color theme="1"/>
      </top>
      <bottom/>
      <diagonal/>
    </border>
  </borders>
  <cellStyleXfs count="20">
    <xf numFmtId="0" fontId="0" fillId="0" borderId="0"/>
    <xf numFmtId="9" fontId="2" fillId="0" borderId="0" applyFont="0" applyFill="0" applyBorder="0" applyAlignment="0" applyProtection="0"/>
    <xf numFmtId="170" fontId="3" fillId="0" borderId="0" applyFont="0" applyFill="0" applyBorder="0" applyAlignment="0" applyProtection="0"/>
    <xf numFmtId="173" fontId="3" fillId="0" borderId="0" applyFont="0" applyFill="0" applyBorder="0" applyAlignment="0" applyProtection="0"/>
    <xf numFmtId="0" fontId="3" fillId="0" borderId="0"/>
    <xf numFmtId="0" fontId="6" fillId="0" borderId="93" applyNumberFormat="0" applyFill="0" applyProtection="0">
      <alignment vertical="center"/>
    </xf>
    <xf numFmtId="0" fontId="7" fillId="0" borderId="0"/>
    <xf numFmtId="0" fontId="8" fillId="0" borderId="94" applyNumberFormat="0" applyFill="0" applyProtection="0">
      <alignment vertical="center"/>
    </xf>
    <xf numFmtId="0" fontId="9" fillId="0" borderId="95" applyNumberFormat="0" applyProtection="0">
      <alignment vertical="center"/>
    </xf>
    <xf numFmtId="183" fontId="10" fillId="16" borderId="0" applyFont="0" applyFill="0" applyBorder="0" applyAlignment="0" applyProtection="0"/>
    <xf numFmtId="0" fontId="10" fillId="15" borderId="0" applyNumberFormat="0" applyFont="0" applyAlignment="0">
      <alignment horizontal="center" vertical="center" wrapText="1"/>
    </xf>
    <xf numFmtId="10" fontId="7" fillId="0" borderId="0" applyFont="0" applyFill="0" applyBorder="0" applyAlignment="0" applyProtection="0"/>
    <xf numFmtId="1" fontId="10" fillId="15" borderId="0" applyFont="0" applyFill="0" applyBorder="0" applyAlignment="0"/>
    <xf numFmtId="14" fontId="10" fillId="0" borderId="0" applyFont="0" applyFill="0" applyBorder="0" applyAlignment="0"/>
    <xf numFmtId="0" fontId="4" fillId="0" borderId="96" applyNumberFormat="0" applyFill="0" applyProtection="0">
      <alignment vertical="center"/>
    </xf>
    <xf numFmtId="0" fontId="10" fillId="16" borderId="95" applyNumberFormat="0" applyProtection="0">
      <alignment horizontal="right"/>
    </xf>
    <xf numFmtId="0" fontId="5" fillId="10" borderId="0" applyNumberFormat="0" applyBorder="0" applyProtection="0">
      <alignment vertical="center" wrapText="1"/>
    </xf>
    <xf numFmtId="0" fontId="5" fillId="10" borderId="0" applyBorder="0" applyProtection="0">
      <alignment horizontal="right" vertical="center" wrapText="1" indent="2"/>
    </xf>
    <xf numFmtId="179" fontId="10" fillId="16" borderId="0" applyFont="0" applyFill="0" applyBorder="0" applyProtection="0">
      <alignment horizontal="right" indent="2"/>
    </xf>
    <xf numFmtId="0" fontId="11" fillId="0" borderId="0" applyNumberFormat="0" applyFill="0" applyBorder="0" applyAlignment="0" applyProtection="0">
      <alignment vertical="top"/>
      <protection locked="0"/>
    </xf>
  </cellStyleXfs>
  <cellXfs count="317">
    <xf numFmtId="0" fontId="0" fillId="0" borderId="0" xfId="0"/>
    <xf numFmtId="0" fontId="14" fillId="2" borderId="0" xfId="0" applyFont="1" applyFill="1" applyAlignment="1">
      <alignment vertical="center"/>
    </xf>
    <xf numFmtId="0" fontId="17" fillId="2" borderId="0" xfId="0" applyFont="1" applyFill="1" applyAlignment="1">
      <alignment vertical="center"/>
    </xf>
    <xf numFmtId="0" fontId="18" fillId="2" borderId="0" xfId="0" applyFont="1" applyFill="1" applyAlignment="1">
      <alignment vertical="center"/>
    </xf>
    <xf numFmtId="0" fontId="14" fillId="0" borderId="7" xfId="0" quotePrefix="1" applyFont="1" applyBorder="1" applyAlignment="1">
      <alignment horizontal="left" vertical="center"/>
    </xf>
    <xf numFmtId="165" fontId="14" fillId="0" borderId="8" xfId="0" applyNumberFormat="1" applyFont="1" applyBorder="1" applyAlignment="1" applyProtection="1">
      <alignment horizontal="right" vertical="center"/>
      <protection locked="0"/>
    </xf>
    <xf numFmtId="0" fontId="14" fillId="0" borderId="13" xfId="0" applyFont="1" applyBorder="1" applyAlignment="1">
      <alignment vertical="center"/>
    </xf>
    <xf numFmtId="165" fontId="14" fillId="3" borderId="20" xfId="1" applyNumberFormat="1" applyFont="1" applyFill="1" applyBorder="1" applyAlignment="1" applyProtection="1">
      <alignment vertical="center"/>
    </xf>
    <xf numFmtId="165" fontId="14" fillId="0" borderId="20" xfId="0" applyNumberFormat="1" applyFont="1" applyBorder="1" applyAlignment="1">
      <alignment vertical="center"/>
    </xf>
    <xf numFmtId="0" fontId="14" fillId="0" borderId="49" xfId="0" applyFont="1" applyBorder="1" applyAlignment="1">
      <alignment vertical="center"/>
    </xf>
    <xf numFmtId="165" fontId="14" fillId="0" borderId="50" xfId="0" applyNumberFormat="1" applyFont="1" applyBorder="1" applyAlignment="1">
      <alignment vertical="center"/>
    </xf>
    <xf numFmtId="0" fontId="14" fillId="0" borderId="16" xfId="0" applyFont="1" applyBorder="1" applyAlignment="1">
      <alignment vertical="center"/>
    </xf>
    <xf numFmtId="166" fontId="14" fillId="0" borderId="17" xfId="0" applyNumberFormat="1" applyFont="1" applyBorder="1" applyAlignment="1" applyProtection="1">
      <alignment horizontal="center" vertical="center"/>
      <protection locked="0"/>
    </xf>
    <xf numFmtId="0" fontId="14" fillId="0" borderId="18" xfId="0" applyFont="1" applyBorder="1" applyAlignment="1">
      <alignment horizontal="right" vertical="center"/>
    </xf>
    <xf numFmtId="1" fontId="14" fillId="0" borderId="19" xfId="0" applyNumberFormat="1" applyFont="1" applyBorder="1" applyAlignment="1" applyProtection="1">
      <alignment horizontal="center" vertical="center"/>
      <protection locked="0"/>
    </xf>
    <xf numFmtId="0" fontId="14" fillId="0" borderId="23" xfId="0" applyFont="1" applyBorder="1" applyAlignment="1">
      <alignment horizontal="left" vertical="center"/>
    </xf>
    <xf numFmtId="8" fontId="14" fillId="0" borderId="6" xfId="0" applyNumberFormat="1" applyFont="1" applyBorder="1" applyAlignment="1" applyProtection="1">
      <alignment vertical="center"/>
      <protection locked="0"/>
    </xf>
    <xf numFmtId="0" fontId="14" fillId="0" borderId="7" xfId="0" applyFont="1" applyBorder="1" applyAlignment="1">
      <alignment vertical="center"/>
    </xf>
    <xf numFmtId="165" fontId="14" fillId="3" borderId="8" xfId="1" applyNumberFormat="1" applyFont="1" applyFill="1" applyBorder="1" applyAlignment="1" applyProtection="1">
      <alignment vertical="center"/>
    </xf>
    <xf numFmtId="165" fontId="14" fillId="0" borderId="8" xfId="0" applyNumberFormat="1" applyFont="1" applyBorder="1" applyAlignment="1">
      <alignment vertical="center"/>
    </xf>
    <xf numFmtId="0" fontId="14" fillId="0" borderId="27" xfId="0" applyFont="1" applyBorder="1" applyAlignment="1">
      <alignment vertical="center"/>
    </xf>
    <xf numFmtId="10" fontId="14" fillId="17" borderId="28" xfId="1" applyNumberFormat="1" applyFont="1" applyFill="1" applyBorder="1" applyAlignment="1" applyProtection="1">
      <alignment vertical="center"/>
    </xf>
    <xf numFmtId="165" fontId="14" fillId="0" borderId="8" xfId="0" applyNumberFormat="1" applyFont="1" applyBorder="1" applyAlignment="1" applyProtection="1">
      <alignment vertical="center"/>
      <protection locked="0"/>
    </xf>
    <xf numFmtId="0" fontId="14" fillId="0" borderId="53" xfId="0" applyFont="1" applyBorder="1" applyAlignment="1">
      <alignment horizontal="left" vertical="center"/>
    </xf>
    <xf numFmtId="9" fontId="14" fillId="3" borderId="54" xfId="1" applyFont="1" applyFill="1" applyBorder="1" applyAlignment="1" applyProtection="1">
      <alignment vertical="center"/>
    </xf>
    <xf numFmtId="165" fontId="14" fillId="0" borderId="50" xfId="1" applyNumberFormat="1" applyFont="1" applyFill="1" applyBorder="1" applyAlignment="1" applyProtection="1">
      <alignment vertical="center"/>
    </xf>
    <xf numFmtId="0" fontId="14" fillId="0" borderId="23" xfId="0" quotePrefix="1" applyFont="1" applyBorder="1" applyAlignment="1">
      <alignment vertical="center"/>
    </xf>
    <xf numFmtId="165" fontId="14" fillId="3" borderId="6" xfId="0" applyNumberFormat="1" applyFont="1" applyFill="1" applyBorder="1" applyAlignment="1">
      <alignment horizontal="right" vertical="center"/>
    </xf>
    <xf numFmtId="165" fontId="14" fillId="3" borderId="28" xfId="1" applyNumberFormat="1" applyFont="1" applyFill="1" applyBorder="1" applyAlignment="1" applyProtection="1">
      <alignment vertical="center"/>
    </xf>
    <xf numFmtId="10" fontId="14" fillId="0" borderId="8" xfId="1" applyNumberFormat="1" applyFont="1" applyBorder="1" applyAlignment="1" applyProtection="1">
      <alignment horizontal="right" vertical="center"/>
    </xf>
    <xf numFmtId="10" fontId="14" fillId="0" borderId="28" xfId="1" applyNumberFormat="1" applyFont="1" applyFill="1" applyBorder="1" applyAlignment="1" applyProtection="1">
      <alignment vertical="center"/>
    </xf>
    <xf numFmtId="0" fontId="14" fillId="0" borderId="53" xfId="0" quotePrefix="1" applyFont="1" applyBorder="1" applyAlignment="1">
      <alignment horizontal="left" vertical="center"/>
    </xf>
    <xf numFmtId="165" fontId="14" fillId="3" borderId="54" xfId="1" applyNumberFormat="1" applyFont="1" applyFill="1" applyBorder="1" applyAlignment="1" applyProtection="1">
      <alignment vertical="center"/>
    </xf>
    <xf numFmtId="165" fontId="14" fillId="2" borderId="0" xfId="1" applyNumberFormat="1" applyFont="1" applyFill="1" applyBorder="1" applyAlignment="1" applyProtection="1">
      <alignment vertical="center"/>
    </xf>
    <xf numFmtId="10" fontId="14" fillId="0" borderId="8" xfId="1" applyNumberFormat="1" applyFont="1" applyFill="1" applyBorder="1" applyAlignment="1" applyProtection="1">
      <alignment horizontal="right" vertical="center"/>
    </xf>
    <xf numFmtId="0" fontId="14" fillId="0" borderId="60" xfId="0" applyFont="1" applyBorder="1" applyAlignment="1">
      <alignment vertical="center"/>
    </xf>
    <xf numFmtId="10" fontId="14" fillId="0" borderId="50" xfId="1" applyNumberFormat="1" applyFont="1" applyFill="1" applyBorder="1" applyAlignment="1" applyProtection="1">
      <alignment vertical="center"/>
    </xf>
    <xf numFmtId="0" fontId="14" fillId="0" borderId="51" xfId="0" quotePrefix="1" applyFont="1" applyBorder="1" applyAlignment="1">
      <alignment vertical="center"/>
    </xf>
    <xf numFmtId="165" fontId="14" fillId="3" borderId="52" xfId="1" applyNumberFormat="1" applyFont="1" applyFill="1" applyBorder="1" applyAlignment="1" applyProtection="1">
      <alignment vertical="center"/>
    </xf>
    <xf numFmtId="0" fontId="14" fillId="0" borderId="23" xfId="0" applyFont="1" applyBorder="1" applyAlignment="1">
      <alignment vertical="center"/>
    </xf>
    <xf numFmtId="167" fontId="14" fillId="0" borderId="6" xfId="0" applyNumberFormat="1" applyFont="1" applyBorder="1" applyAlignment="1" applyProtection="1">
      <alignment vertical="center"/>
      <protection locked="0"/>
    </xf>
    <xf numFmtId="0" fontId="14" fillId="0" borderId="47" xfId="0" applyFont="1" applyBorder="1" applyAlignment="1">
      <alignment vertical="center"/>
    </xf>
    <xf numFmtId="165" fontId="14" fillId="3" borderId="48" xfId="1" applyNumberFormat="1" applyFont="1" applyFill="1" applyBorder="1" applyAlignment="1" applyProtection="1">
      <alignment vertical="center"/>
    </xf>
    <xf numFmtId="165" fontId="14" fillId="3" borderId="10" xfId="1" applyNumberFormat="1" applyFont="1" applyFill="1" applyBorder="1" applyAlignment="1" applyProtection="1">
      <alignment vertical="center"/>
    </xf>
    <xf numFmtId="10" fontId="14" fillId="0" borderId="2" xfId="1" applyNumberFormat="1" applyFont="1" applyFill="1" applyBorder="1" applyAlignment="1" applyProtection="1">
      <alignment vertical="center"/>
      <protection locked="0"/>
    </xf>
    <xf numFmtId="165" fontId="14" fillId="0" borderId="8" xfId="1" applyNumberFormat="1" applyFont="1" applyFill="1" applyBorder="1" applyAlignment="1" applyProtection="1">
      <alignment vertical="center"/>
      <protection locked="0"/>
    </xf>
    <xf numFmtId="1" fontId="14" fillId="2" borderId="0" xfId="0" applyNumberFormat="1" applyFont="1" applyFill="1" applyAlignment="1">
      <alignment horizontal="right" vertical="center"/>
    </xf>
    <xf numFmtId="165" fontId="14" fillId="2" borderId="55" xfId="0" applyNumberFormat="1" applyFont="1" applyFill="1" applyBorder="1" applyAlignment="1">
      <alignment vertical="center"/>
    </xf>
    <xf numFmtId="165" fontId="14" fillId="0" borderId="54" xfId="1" applyNumberFormat="1" applyFont="1" applyFill="1" applyBorder="1" applyAlignment="1" applyProtection="1">
      <alignment vertical="center"/>
      <protection locked="0"/>
    </xf>
    <xf numFmtId="0" fontId="14" fillId="0" borderId="27" xfId="0" quotePrefix="1" applyFont="1" applyBorder="1" applyAlignment="1">
      <alignment vertical="center"/>
    </xf>
    <xf numFmtId="0" fontId="14" fillId="0" borderId="7" xfId="0" applyFont="1" applyBorder="1" applyAlignment="1">
      <alignment horizontal="left" vertical="center"/>
    </xf>
    <xf numFmtId="10" fontId="14" fillId="0" borderId="18" xfId="1" applyNumberFormat="1" applyFont="1" applyFill="1" applyBorder="1" applyAlignment="1" applyProtection="1">
      <alignment vertical="center"/>
      <protection locked="0"/>
    </xf>
    <xf numFmtId="165" fontId="14" fillId="0" borderId="10" xfId="1" applyNumberFormat="1" applyFont="1" applyFill="1" applyBorder="1" applyAlignment="1" applyProtection="1">
      <alignment vertical="center"/>
      <protection locked="0"/>
    </xf>
    <xf numFmtId="165" fontId="14" fillId="0" borderId="54" xfId="0" applyNumberFormat="1" applyFont="1" applyBorder="1" applyAlignment="1">
      <alignment vertical="center"/>
    </xf>
    <xf numFmtId="10" fontId="14" fillId="3" borderId="99" xfId="1" applyNumberFormat="1" applyFont="1" applyFill="1" applyBorder="1" applyAlignment="1" applyProtection="1">
      <alignment vertical="center"/>
    </xf>
    <xf numFmtId="0" fontId="14" fillId="0" borderId="24" xfId="0" quotePrefix="1" applyFont="1" applyBorder="1" applyAlignment="1">
      <alignment horizontal="left" vertical="center"/>
    </xf>
    <xf numFmtId="165" fontId="14" fillId="0" borderId="25" xfId="0" applyNumberFormat="1" applyFont="1" applyBorder="1" applyAlignment="1" applyProtection="1">
      <alignment horizontal="right" vertical="center"/>
      <protection locked="0"/>
    </xf>
    <xf numFmtId="171" fontId="14" fillId="3" borderId="44" xfId="1" applyNumberFormat="1" applyFont="1" applyFill="1" applyBorder="1" applyAlignment="1" applyProtection="1">
      <alignment vertical="center"/>
    </xf>
    <xf numFmtId="6" fontId="14" fillId="0" borderId="28" xfId="1" applyNumberFormat="1" applyFont="1" applyBorder="1" applyAlignment="1" applyProtection="1">
      <alignment vertical="center"/>
    </xf>
    <xf numFmtId="10" fontId="14" fillId="3" borderId="0" xfId="1" applyNumberFormat="1" applyFont="1" applyFill="1" applyBorder="1" applyAlignment="1" applyProtection="1">
      <alignment vertical="center"/>
    </xf>
    <xf numFmtId="165" fontId="14" fillId="3" borderId="0" xfId="1" applyNumberFormat="1" applyFont="1" applyFill="1" applyBorder="1" applyAlignment="1" applyProtection="1">
      <alignment vertical="center"/>
    </xf>
    <xf numFmtId="165" fontId="14" fillId="3" borderId="28" xfId="0" applyNumberFormat="1" applyFont="1" applyFill="1" applyBorder="1" applyAlignment="1">
      <alignment horizontal="right" vertical="center"/>
    </xf>
    <xf numFmtId="0" fontId="14" fillId="3" borderId="45" xfId="0" applyFont="1" applyFill="1" applyBorder="1" applyAlignment="1">
      <alignment vertical="center"/>
    </xf>
    <xf numFmtId="10" fontId="14" fillId="0" borderId="46" xfId="0" applyNumberFormat="1" applyFont="1" applyBorder="1" applyAlignment="1">
      <alignment horizontal="right" vertical="center"/>
    </xf>
    <xf numFmtId="0" fontId="20" fillId="3" borderId="61" xfId="0" applyFont="1" applyFill="1" applyBorder="1" applyAlignment="1">
      <alignment horizontal="center" vertical="center"/>
    </xf>
    <xf numFmtId="0" fontId="20" fillId="3" borderId="62" xfId="0" applyFont="1" applyFill="1" applyBorder="1" applyAlignment="1">
      <alignment horizontal="center" vertical="center"/>
    </xf>
    <xf numFmtId="165" fontId="14" fillId="0" borderId="6" xfId="0" applyNumberFormat="1" applyFont="1" applyBorder="1" applyAlignment="1">
      <alignment vertical="center"/>
    </xf>
    <xf numFmtId="167" fontId="14" fillId="0" borderId="64" xfId="0" applyNumberFormat="1" applyFont="1" applyBorder="1" applyAlignment="1" applyProtection="1">
      <alignment vertical="center"/>
      <protection locked="0"/>
    </xf>
    <xf numFmtId="165" fontId="14" fillId="0" borderId="59" xfId="1" applyNumberFormat="1" applyFont="1" applyFill="1" applyBorder="1" applyAlignment="1" applyProtection="1">
      <alignment horizontal="right" vertical="center"/>
      <protection locked="0"/>
    </xf>
    <xf numFmtId="0" fontId="14" fillId="0" borderId="31" xfId="0" applyFont="1" applyBorder="1" applyAlignment="1">
      <alignment vertical="center"/>
    </xf>
    <xf numFmtId="167" fontId="14" fillId="0" borderId="32" xfId="1" applyNumberFormat="1" applyFont="1" applyFill="1" applyBorder="1" applyAlignment="1" applyProtection="1">
      <alignment vertical="center"/>
    </xf>
    <xf numFmtId="0" fontId="22" fillId="0" borderId="7" xfId="0" applyFont="1" applyBorder="1" applyAlignment="1">
      <alignment horizontal="left" vertical="center"/>
    </xf>
    <xf numFmtId="181" fontId="14" fillId="9" borderId="44" xfId="1" applyNumberFormat="1" applyFont="1" applyFill="1" applyBorder="1" applyAlignment="1" applyProtection="1">
      <alignment vertical="center"/>
    </xf>
    <xf numFmtId="167" fontId="14" fillId="0" borderId="68" xfId="0" applyNumberFormat="1" applyFont="1" applyBorder="1" applyAlignment="1" applyProtection="1">
      <alignment vertical="center"/>
      <protection locked="0"/>
    </xf>
    <xf numFmtId="165" fontId="14" fillId="0" borderId="69" xfId="1" applyNumberFormat="1" applyFont="1" applyFill="1" applyBorder="1" applyAlignment="1" applyProtection="1">
      <alignment horizontal="right" vertical="center"/>
      <protection locked="0"/>
    </xf>
    <xf numFmtId="0" fontId="14" fillId="0" borderId="33" xfId="0" applyFont="1" applyBorder="1" applyAlignment="1">
      <alignment vertical="center"/>
    </xf>
    <xf numFmtId="0" fontId="14" fillId="0" borderId="47" xfId="0" applyFont="1" applyBorder="1" applyAlignment="1">
      <alignment horizontal="left" vertical="center"/>
    </xf>
    <xf numFmtId="179" fontId="14" fillId="0" borderId="48" xfId="1" applyNumberFormat="1" applyFont="1" applyFill="1" applyBorder="1" applyAlignment="1" applyProtection="1">
      <alignment vertical="center"/>
    </xf>
    <xf numFmtId="167" fontId="14" fillId="0" borderId="71" xfId="0" applyNumberFormat="1" applyFont="1" applyBorder="1" applyAlignment="1" applyProtection="1">
      <alignment vertical="center"/>
      <protection locked="0"/>
    </xf>
    <xf numFmtId="165" fontId="14" fillId="3" borderId="72" xfId="1" applyNumberFormat="1" applyFont="1" applyFill="1" applyBorder="1" applyAlignment="1" applyProtection="1">
      <alignment vertical="center"/>
    </xf>
    <xf numFmtId="0" fontId="14" fillId="0" borderId="34" xfId="0" applyFont="1" applyBorder="1" applyAlignment="1">
      <alignment vertical="center"/>
    </xf>
    <xf numFmtId="165" fontId="14" fillId="0" borderId="35" xfId="1" applyNumberFormat="1" applyFont="1" applyFill="1" applyBorder="1" applyAlignment="1" applyProtection="1">
      <alignment vertical="center"/>
    </xf>
    <xf numFmtId="0" fontId="22" fillId="0" borderId="49" xfId="0" applyFont="1" applyBorder="1" applyAlignment="1">
      <alignment horizontal="left" vertical="center"/>
    </xf>
    <xf numFmtId="180" fontId="14" fillId="9" borderId="50" xfId="0" applyNumberFormat="1" applyFont="1" applyFill="1" applyBorder="1" applyAlignment="1" applyProtection="1">
      <alignment vertical="center"/>
      <protection locked="0"/>
    </xf>
    <xf numFmtId="165" fontId="14" fillId="3" borderId="56" xfId="1" applyNumberFormat="1" applyFont="1" applyFill="1" applyBorder="1" applyAlignment="1" applyProtection="1">
      <alignment vertical="center"/>
    </xf>
    <xf numFmtId="0" fontId="14" fillId="0" borderId="16" xfId="0" quotePrefix="1" applyFont="1" applyBorder="1" applyAlignment="1">
      <alignment horizontal="left" vertical="center"/>
    </xf>
    <xf numFmtId="165" fontId="14" fillId="0" borderId="10" xfId="1" applyNumberFormat="1" applyFont="1" applyFill="1" applyBorder="1" applyAlignment="1" applyProtection="1">
      <alignment vertical="center"/>
    </xf>
    <xf numFmtId="9" fontId="14" fillId="9" borderId="54" xfId="1" applyFont="1" applyFill="1" applyBorder="1" applyAlignment="1" applyProtection="1">
      <alignment vertical="center"/>
    </xf>
    <xf numFmtId="165" fontId="14" fillId="0" borderId="28" xfId="0" applyNumberFormat="1" applyFont="1" applyBorder="1" applyAlignment="1">
      <alignment vertical="center"/>
    </xf>
    <xf numFmtId="0" fontId="21"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164" fontId="24" fillId="2" borderId="0" xfId="0" applyNumberFormat="1" applyFont="1" applyFill="1" applyAlignment="1">
      <alignment vertical="center"/>
    </xf>
    <xf numFmtId="179" fontId="14" fillId="2" borderId="0" xfId="0" applyNumberFormat="1" applyFont="1" applyFill="1" applyAlignment="1">
      <alignment vertical="center"/>
    </xf>
    <xf numFmtId="164" fontId="25" fillId="2" borderId="0" xfId="0" applyNumberFormat="1" applyFont="1" applyFill="1" applyAlignment="1">
      <alignment vertical="center"/>
    </xf>
    <xf numFmtId="0" fontId="25" fillId="2" borderId="0" xfId="0" applyFont="1" applyFill="1" applyAlignment="1">
      <alignment vertical="center"/>
    </xf>
    <xf numFmtId="4" fontId="24" fillId="2" borderId="0" xfId="0" applyNumberFormat="1" applyFont="1" applyFill="1" applyAlignment="1">
      <alignment vertical="center"/>
    </xf>
    <xf numFmtId="0" fontId="15" fillId="2" borderId="0" xfId="0" applyFont="1" applyFill="1"/>
    <xf numFmtId="0" fontId="27" fillId="2" borderId="0" xfId="0" applyFont="1" applyFill="1"/>
    <xf numFmtId="0" fontId="15" fillId="0" borderId="0" xfId="0" applyFont="1"/>
    <xf numFmtId="0" fontId="28" fillId="7" borderId="81" xfId="0" applyFont="1" applyFill="1" applyBorder="1" applyAlignment="1">
      <alignment vertical="center"/>
    </xf>
    <xf numFmtId="0" fontId="28" fillId="7" borderId="83" xfId="0" applyFont="1" applyFill="1" applyBorder="1" applyAlignment="1">
      <alignment vertical="center"/>
    </xf>
    <xf numFmtId="0" fontId="15" fillId="0" borderId="84" xfId="0" applyFont="1" applyBorder="1"/>
    <xf numFmtId="0" fontId="15" fillId="0" borderId="55" xfId="0" applyFont="1" applyBorder="1"/>
    <xf numFmtId="0" fontId="17" fillId="0" borderId="84" xfId="0" applyFont="1" applyBorder="1"/>
    <xf numFmtId="0" fontId="17" fillId="0" borderId="0" xfId="0" applyFont="1" applyAlignment="1">
      <alignment vertical="center"/>
    </xf>
    <xf numFmtId="0" fontId="17" fillId="0" borderId="55" xfId="0" applyFont="1" applyBorder="1"/>
    <xf numFmtId="0" fontId="17" fillId="2" borderId="0" xfId="0" applyFont="1" applyFill="1"/>
    <xf numFmtId="0" fontId="18" fillId="0" borderId="84" xfId="0" applyFont="1" applyBorder="1"/>
    <xf numFmtId="0" fontId="18" fillId="0" borderId="0" xfId="0" applyFont="1" applyAlignment="1">
      <alignment vertical="center"/>
    </xf>
    <xf numFmtId="0" fontId="18" fillId="0" borderId="55" xfId="0" applyFont="1" applyBorder="1"/>
    <xf numFmtId="0" fontId="18" fillId="2" borderId="0" xfId="0" applyFont="1" applyFill="1"/>
    <xf numFmtId="0" fontId="14" fillId="0" borderId="84" xfId="0" applyFont="1" applyBorder="1"/>
    <xf numFmtId="0" fontId="14" fillId="0" borderId="0" xfId="0" applyFont="1" applyAlignment="1">
      <alignment vertical="center"/>
    </xf>
    <xf numFmtId="0" fontId="14" fillId="0" borderId="55" xfId="0" applyFont="1" applyBorder="1"/>
    <xf numFmtId="169" fontId="14" fillId="0" borderId="57" xfId="0" applyNumberFormat="1" applyFont="1" applyBorder="1" applyAlignment="1">
      <alignment vertical="center"/>
    </xf>
    <xf numFmtId="165" fontId="14" fillId="0" borderId="57" xfId="0" applyNumberFormat="1" applyFont="1" applyBorder="1" applyAlignment="1">
      <alignment vertical="center"/>
    </xf>
    <xf numFmtId="0" fontId="14" fillId="0" borderId="43" xfId="0" applyFont="1" applyBorder="1" applyAlignment="1">
      <alignment vertical="center"/>
    </xf>
    <xf numFmtId="165" fontId="14" fillId="0" borderId="80" xfId="0" applyNumberFormat="1" applyFont="1" applyBorder="1" applyAlignment="1">
      <alignment vertical="center"/>
    </xf>
    <xf numFmtId="10" fontId="14" fillId="0" borderId="15" xfId="1" applyNumberFormat="1" applyFont="1" applyFill="1" applyBorder="1" applyAlignment="1">
      <alignment vertical="center"/>
    </xf>
    <xf numFmtId="167" fontId="14" fillId="0" borderId="57" xfId="1" applyNumberFormat="1" applyFont="1" applyFill="1" applyBorder="1" applyAlignment="1">
      <alignment vertical="center"/>
    </xf>
    <xf numFmtId="182" fontId="14" fillId="0" borderId="58" xfId="0" applyNumberFormat="1" applyFont="1" applyBorder="1" applyAlignment="1">
      <alignment vertical="center"/>
    </xf>
    <xf numFmtId="10" fontId="14" fillId="0" borderId="58" xfId="0" applyNumberFormat="1" applyFont="1" applyBorder="1" applyAlignment="1">
      <alignment vertical="center"/>
    </xf>
    <xf numFmtId="167" fontId="14" fillId="0" borderId="58" xfId="1" applyNumberFormat="1" applyFont="1" applyFill="1" applyBorder="1" applyAlignment="1">
      <alignment vertical="center"/>
    </xf>
    <xf numFmtId="165" fontId="14" fillId="0" borderId="15" xfId="0" applyNumberFormat="1" applyFont="1" applyBorder="1" applyAlignment="1">
      <alignment vertical="center"/>
    </xf>
    <xf numFmtId="0" fontId="14" fillId="0" borderId="7" xfId="0" quotePrefix="1" applyFont="1" applyBorder="1" applyAlignment="1">
      <alignment vertical="center"/>
    </xf>
    <xf numFmtId="0" fontId="14" fillId="0" borderId="75" xfId="0" applyFont="1" applyBorder="1" applyAlignment="1">
      <alignment vertical="center"/>
    </xf>
    <xf numFmtId="165" fontId="14" fillId="0" borderId="76" xfId="0" applyNumberFormat="1" applyFont="1" applyBorder="1" applyAlignment="1">
      <alignment vertical="center"/>
    </xf>
    <xf numFmtId="0" fontId="14" fillId="0" borderId="77" xfId="0" applyFont="1" applyBorder="1" applyAlignment="1">
      <alignment vertical="center"/>
    </xf>
    <xf numFmtId="165" fontId="14" fillId="0" borderId="55" xfId="0" applyNumberFormat="1" applyFont="1" applyBorder="1" applyAlignment="1">
      <alignment vertical="center"/>
    </xf>
    <xf numFmtId="0" fontId="14" fillId="0" borderId="78" xfId="0" applyFont="1" applyBorder="1" applyAlignment="1">
      <alignment vertical="center"/>
    </xf>
    <xf numFmtId="165" fontId="14" fillId="0" borderId="79" xfId="0" applyNumberFormat="1" applyFont="1" applyBorder="1" applyAlignment="1">
      <alignment vertical="center"/>
    </xf>
    <xf numFmtId="0" fontId="14" fillId="0" borderId="75" xfId="0" quotePrefix="1" applyFont="1" applyBorder="1" applyAlignment="1">
      <alignment vertical="center"/>
    </xf>
    <xf numFmtId="0" fontId="14" fillId="0" borderId="21" xfId="0" applyFont="1" applyBorder="1" applyAlignment="1">
      <alignment vertical="center"/>
    </xf>
    <xf numFmtId="10" fontId="14" fillId="0" borderId="56" xfId="0" applyNumberFormat="1" applyFont="1" applyBorder="1" applyAlignment="1">
      <alignment vertical="center"/>
    </xf>
    <xf numFmtId="165" fontId="14" fillId="0" borderId="58" xfId="0" applyNumberFormat="1" applyFont="1" applyBorder="1" applyAlignment="1">
      <alignment vertical="center"/>
    </xf>
    <xf numFmtId="0" fontId="15" fillId="0" borderId="85" xfId="0" applyFont="1" applyBorder="1"/>
    <xf numFmtId="0" fontId="15" fillId="0" borderId="11" xfId="0" applyFont="1" applyBorder="1"/>
    <xf numFmtId="9" fontId="15" fillId="0" borderId="86" xfId="1" applyFont="1" applyBorder="1"/>
    <xf numFmtId="165" fontId="12" fillId="0" borderId="88" xfId="0" applyNumberFormat="1" applyFont="1" applyBorder="1"/>
    <xf numFmtId="0" fontId="13" fillId="0" borderId="0" xfId="0" applyFont="1" applyAlignment="1">
      <alignment horizontal="center" vertical="center"/>
    </xf>
    <xf numFmtId="8" fontId="13" fillId="0" borderId="0" xfId="0" applyNumberFormat="1" applyFont="1" applyAlignment="1">
      <alignment horizontal="center" vertical="center"/>
    </xf>
    <xf numFmtId="0" fontId="25" fillId="0" borderId="0" xfId="4" applyFont="1" applyAlignment="1">
      <alignment vertical="center"/>
    </xf>
    <xf numFmtId="0" fontId="16" fillId="13" borderId="40" xfId="4" applyFont="1" applyFill="1" applyBorder="1" applyAlignment="1">
      <alignment horizontal="left" vertical="center"/>
    </xf>
    <xf numFmtId="0" fontId="31" fillId="0" borderId="92" xfId="4" applyFont="1" applyBorder="1" applyAlignment="1">
      <alignment horizontal="left" vertical="center"/>
    </xf>
    <xf numFmtId="0" fontId="32" fillId="0" borderId="92" xfId="2" applyNumberFormat="1" applyFont="1" applyFill="1" applyBorder="1" applyAlignment="1" applyProtection="1">
      <alignment horizontal="right" vertical="center"/>
      <protection locked="0"/>
    </xf>
    <xf numFmtId="0" fontId="31" fillId="0" borderId="0" xfId="4" applyFont="1" applyAlignment="1">
      <alignment vertical="center"/>
    </xf>
    <xf numFmtId="0" fontId="19" fillId="11" borderId="39" xfId="4" applyFont="1" applyFill="1" applyBorder="1" applyAlignment="1">
      <alignment horizontal="left" vertical="center"/>
    </xf>
    <xf numFmtId="0" fontId="25" fillId="8" borderId="39" xfId="4" applyFont="1" applyFill="1" applyBorder="1" applyAlignment="1">
      <alignment horizontal="left" vertical="center" indent="1"/>
    </xf>
    <xf numFmtId="0" fontId="25" fillId="9" borderId="39" xfId="4" applyFont="1" applyFill="1" applyBorder="1" applyAlignment="1">
      <alignment horizontal="center" vertical="center"/>
    </xf>
    <xf numFmtId="185" fontId="25" fillId="0" borderId="39" xfId="4" applyNumberFormat="1" applyFont="1" applyBorder="1" applyAlignment="1">
      <alignment horizontal="left" vertical="center" indent="1"/>
    </xf>
    <xf numFmtId="1" fontId="25" fillId="9" borderId="39" xfId="4" applyNumberFormat="1" applyFont="1" applyFill="1" applyBorder="1" applyAlignment="1">
      <alignment horizontal="right" vertical="center"/>
    </xf>
    <xf numFmtId="186" fontId="25" fillId="0" borderId="39" xfId="4" applyNumberFormat="1" applyFont="1" applyBorder="1" applyAlignment="1">
      <alignment horizontal="left" vertical="center" indent="1"/>
    </xf>
    <xf numFmtId="187" fontId="25" fillId="9" borderId="39" xfId="4" applyNumberFormat="1" applyFont="1" applyFill="1" applyBorder="1" applyAlignment="1">
      <alignment horizontal="right" vertical="center"/>
    </xf>
    <xf numFmtId="0" fontId="25" fillId="0" borderId="92" xfId="4" applyFont="1" applyBorder="1" applyAlignment="1">
      <alignment horizontal="left" vertical="center"/>
    </xf>
    <xf numFmtId="0" fontId="21" fillId="0" borderId="92" xfId="2" applyNumberFormat="1" applyFont="1" applyFill="1" applyBorder="1" applyAlignment="1" applyProtection="1">
      <alignment horizontal="right" vertical="center"/>
      <protection locked="0"/>
    </xf>
    <xf numFmtId="165" fontId="25" fillId="9" borderId="39" xfId="2" applyNumberFormat="1" applyFont="1" applyFill="1" applyBorder="1" applyAlignment="1" applyProtection="1">
      <alignment horizontal="right" vertical="center"/>
      <protection locked="0"/>
    </xf>
    <xf numFmtId="0" fontId="25" fillId="0" borderId="39" xfId="4" applyFont="1" applyBorder="1" applyAlignment="1">
      <alignment horizontal="left" vertical="center" indent="1"/>
    </xf>
    <xf numFmtId="10" fontId="25" fillId="9" borderId="39" xfId="2" applyNumberFormat="1" applyFont="1" applyFill="1" applyBorder="1" applyAlignment="1" applyProtection="1">
      <alignment horizontal="right" vertical="center"/>
      <protection locked="0"/>
    </xf>
    <xf numFmtId="175" fontId="25" fillId="9" borderId="39" xfId="4" applyNumberFormat="1" applyFont="1" applyFill="1" applyBorder="1" applyAlignment="1" applyProtection="1">
      <alignment horizontal="right" vertical="center"/>
      <protection locked="0"/>
    </xf>
    <xf numFmtId="10" fontId="25" fillId="9" borderId="39" xfId="4" applyNumberFormat="1" applyFont="1" applyFill="1" applyBorder="1" applyAlignment="1" applyProtection="1">
      <alignment horizontal="right" vertical="center"/>
      <protection locked="0"/>
    </xf>
    <xf numFmtId="190" fontId="25" fillId="0" borderId="39" xfId="4" applyNumberFormat="1" applyFont="1" applyBorder="1" applyAlignment="1">
      <alignment horizontal="left" vertical="center" indent="1"/>
    </xf>
    <xf numFmtId="10" fontId="25" fillId="9" borderId="39" xfId="4" applyNumberFormat="1" applyFont="1" applyFill="1" applyBorder="1" applyAlignment="1">
      <alignment horizontal="right" vertical="center"/>
    </xf>
    <xf numFmtId="188" fontId="25" fillId="0" borderId="39" xfId="4" applyNumberFormat="1" applyFont="1" applyBorder="1" applyAlignment="1">
      <alignment horizontal="left" vertical="center" indent="1"/>
    </xf>
    <xf numFmtId="189" fontId="25" fillId="0" borderId="39" xfId="4" applyNumberFormat="1" applyFont="1" applyBorder="1" applyAlignment="1">
      <alignment horizontal="left" vertical="center" indent="1"/>
    </xf>
    <xf numFmtId="177" fontId="25" fillId="9" borderId="39" xfId="4" applyNumberFormat="1" applyFont="1" applyFill="1" applyBorder="1" applyAlignment="1" applyProtection="1">
      <alignment horizontal="right" vertical="center"/>
      <protection locked="0"/>
    </xf>
    <xf numFmtId="0" fontId="33" fillId="0" borderId="39" xfId="4" applyFont="1" applyBorder="1" applyAlignment="1">
      <alignment horizontal="left" vertical="center"/>
    </xf>
    <xf numFmtId="10" fontId="25" fillId="0" borderId="39" xfId="2" applyNumberFormat="1" applyFont="1" applyFill="1" applyBorder="1" applyAlignment="1" applyProtection="1">
      <alignment horizontal="right" vertical="center"/>
      <protection locked="0"/>
    </xf>
    <xf numFmtId="0" fontId="25" fillId="0" borderId="40" xfId="4" applyFont="1" applyBorder="1" applyAlignment="1">
      <alignment horizontal="left" vertical="center"/>
    </xf>
    <xf numFmtId="6" fontId="25" fillId="9" borderId="39" xfId="2" applyNumberFormat="1" applyFont="1" applyFill="1" applyBorder="1" applyAlignment="1" applyProtection="1">
      <alignment horizontal="right" vertical="center"/>
      <protection locked="0"/>
    </xf>
    <xf numFmtId="0" fontId="25" fillId="0" borderId="42" xfId="4" applyFont="1" applyBorder="1" applyAlignment="1">
      <alignment horizontal="left" vertical="center"/>
    </xf>
    <xf numFmtId="0" fontId="21" fillId="0" borderId="42" xfId="2" applyNumberFormat="1" applyFont="1" applyFill="1" applyBorder="1" applyAlignment="1" applyProtection="1">
      <alignment horizontal="right" vertical="center"/>
      <protection locked="0"/>
    </xf>
    <xf numFmtId="6" fontId="25" fillId="0" borderId="39" xfId="2" applyNumberFormat="1" applyFont="1" applyFill="1" applyBorder="1" applyAlignment="1" applyProtection="1">
      <alignment horizontal="right" vertical="center"/>
      <protection locked="0"/>
    </xf>
    <xf numFmtId="9" fontId="25" fillId="9" borderId="39" xfId="4" applyNumberFormat="1" applyFont="1" applyFill="1" applyBorder="1" applyAlignment="1">
      <alignment horizontal="right" vertical="center"/>
    </xf>
    <xf numFmtId="6" fontId="14" fillId="0" borderId="39" xfId="2" applyNumberFormat="1" applyFont="1" applyFill="1" applyBorder="1" applyAlignment="1" applyProtection="1">
      <alignment horizontal="right" vertical="center"/>
      <protection locked="0"/>
    </xf>
    <xf numFmtId="0" fontId="22" fillId="0" borderId="39" xfId="4" applyFont="1" applyBorder="1" applyAlignment="1">
      <alignment horizontal="left" vertical="center"/>
    </xf>
    <xf numFmtId="6" fontId="25" fillId="9" borderId="39" xfId="4" applyNumberFormat="1" applyFont="1" applyFill="1" applyBorder="1" applyAlignment="1">
      <alignment horizontal="right" vertical="center"/>
    </xf>
    <xf numFmtId="6" fontId="14" fillId="9" borderId="39" xfId="4" applyNumberFormat="1" applyFont="1" applyFill="1" applyBorder="1" applyAlignment="1">
      <alignment horizontal="right" vertical="center"/>
    </xf>
    <xf numFmtId="6" fontId="25" fillId="0" borderId="39" xfId="4" applyNumberFormat="1" applyFont="1" applyBorder="1" applyAlignment="1">
      <alignment horizontal="right" vertical="center"/>
    </xf>
    <xf numFmtId="0" fontId="25" fillId="0" borderId="0" xfId="4" applyFont="1" applyAlignment="1">
      <alignment horizontal="left" vertical="center" indent="2"/>
    </xf>
    <xf numFmtId="0" fontId="25" fillId="0" borderId="0" xfId="4" applyFont="1" applyAlignment="1">
      <alignment horizontal="right" vertical="center"/>
    </xf>
    <xf numFmtId="0" fontId="34" fillId="0" borderId="100" xfId="5" applyFont="1" applyBorder="1">
      <alignment vertical="center"/>
    </xf>
    <xf numFmtId="0" fontId="34" fillId="0" borderId="100" xfId="5" applyFont="1" applyBorder="1" applyAlignment="1">
      <alignment horizontal="right" vertical="center"/>
    </xf>
    <xf numFmtId="0" fontId="34" fillId="0" borderId="100" xfId="5" applyFont="1" applyBorder="1" applyAlignment="1">
      <alignment horizontal="center" vertical="center"/>
    </xf>
    <xf numFmtId="0" fontId="24" fillId="0" borderId="0" xfId="6" applyFont="1"/>
    <xf numFmtId="0" fontId="35" fillId="0" borderId="0" xfId="5" applyFont="1" applyBorder="1" applyAlignment="1">
      <alignment horizontal="left" vertical="center"/>
    </xf>
    <xf numFmtId="0" fontId="35" fillId="0" borderId="102" xfId="5" applyFont="1" applyBorder="1" applyAlignment="1">
      <alignment horizontal="left" vertical="center"/>
    </xf>
    <xf numFmtId="0" fontId="35" fillId="0" borderId="102" xfId="5" applyFont="1" applyBorder="1">
      <alignment vertical="center"/>
    </xf>
    <xf numFmtId="0" fontId="12" fillId="0" borderId="100" xfId="7" applyFont="1" applyBorder="1">
      <alignment vertical="center"/>
    </xf>
    <xf numFmtId="0" fontId="35" fillId="0" borderId="100" xfId="7" applyFont="1" applyBorder="1">
      <alignment vertical="center"/>
    </xf>
    <xf numFmtId="0" fontId="24" fillId="0" borderId="0" xfId="6" applyFont="1" applyAlignment="1">
      <alignment horizontal="center" vertical="center"/>
    </xf>
    <xf numFmtId="0" fontId="36" fillId="13" borderId="0" xfId="16" applyFont="1" applyFill="1">
      <alignment vertical="center" wrapText="1"/>
    </xf>
    <xf numFmtId="0" fontId="36" fillId="13" borderId="0" xfId="17" applyFont="1" applyFill="1">
      <alignment horizontal="right" vertical="center" wrapText="1" indent="2"/>
    </xf>
    <xf numFmtId="1" fontId="37" fillId="0" borderId="0" xfId="12" applyFont="1" applyFill="1" applyAlignment="1">
      <alignment horizontal="left"/>
    </xf>
    <xf numFmtId="14" fontId="37" fillId="0" borderId="0" xfId="13" applyFont="1" applyFill="1" applyAlignment="1">
      <alignment horizontal="left"/>
    </xf>
    <xf numFmtId="179" fontId="37" fillId="0" borderId="0" xfId="18" applyFont="1" applyFill="1" applyBorder="1">
      <alignment horizontal="right" indent="2"/>
    </xf>
    <xf numFmtId="14" fontId="37" fillId="0" borderId="0" xfId="13" applyFont="1" applyFill="1" applyBorder="1" applyAlignment="1">
      <alignment horizontal="left"/>
    </xf>
    <xf numFmtId="0" fontId="36" fillId="13" borderId="0" xfId="17" applyFont="1" applyFill="1" applyAlignment="1">
      <alignment horizontal="center" vertical="center" wrapText="1"/>
    </xf>
    <xf numFmtId="0" fontId="21" fillId="0" borderId="39" xfId="4" applyFont="1" applyBorder="1" applyAlignment="1">
      <alignment horizontal="right" vertical="center"/>
    </xf>
    <xf numFmtId="0" fontId="21" fillId="0" borderId="0" xfId="4" applyFont="1" applyAlignment="1">
      <alignment vertical="center"/>
    </xf>
    <xf numFmtId="165" fontId="25" fillId="0" borderId="39" xfId="2" applyNumberFormat="1" applyFont="1" applyFill="1" applyBorder="1" applyAlignment="1" applyProtection="1">
      <alignment horizontal="right" vertical="center"/>
      <protection locked="0"/>
    </xf>
    <xf numFmtId="0" fontId="25" fillId="0" borderId="39" xfId="4" applyFont="1" applyBorder="1" applyAlignment="1">
      <alignment vertical="center"/>
    </xf>
    <xf numFmtId="179" fontId="25" fillId="0" borderId="39" xfId="4" applyNumberFormat="1" applyFont="1" applyBorder="1" applyAlignment="1">
      <alignment vertical="center"/>
    </xf>
    <xf numFmtId="0" fontId="29" fillId="7" borderId="82" xfId="0" applyFont="1" applyFill="1" applyBorder="1" applyAlignment="1"/>
    <xf numFmtId="0" fontId="32" fillId="0" borderId="0" xfId="0" applyFont="1" applyAlignment="1">
      <alignment vertical="center"/>
    </xf>
    <xf numFmtId="0" fontId="32" fillId="2" borderId="0" xfId="0" applyFont="1" applyFill="1" applyAlignment="1">
      <alignment vertical="center"/>
    </xf>
    <xf numFmtId="0" fontId="31" fillId="0" borderId="0" xfId="6" applyFont="1"/>
    <xf numFmtId="0" fontId="32" fillId="2" borderId="0" xfId="0" applyFont="1" applyFill="1"/>
    <xf numFmtId="0" fontId="14" fillId="2" borderId="0" xfId="0" applyFont="1" applyFill="1"/>
    <xf numFmtId="0" fontId="22" fillId="3" borderId="24" xfId="0" applyFont="1" applyFill="1" applyBorder="1"/>
    <xf numFmtId="0" fontId="22" fillId="4" borderId="30" xfId="0" applyFont="1" applyFill="1" applyBorder="1" applyAlignment="1">
      <alignment horizontal="center"/>
    </xf>
    <xf numFmtId="0" fontId="22" fillId="5" borderId="30" xfId="0" applyFont="1" applyFill="1" applyBorder="1" applyAlignment="1">
      <alignment horizontal="center"/>
    </xf>
    <xf numFmtId="0" fontId="22" fillId="6" borderId="25" xfId="0" applyFont="1" applyFill="1" applyBorder="1" applyAlignment="1">
      <alignment horizontal="center"/>
    </xf>
    <xf numFmtId="0" fontId="14" fillId="0" borderId="23" xfId="0" applyFont="1" applyBorder="1"/>
    <xf numFmtId="10" fontId="14" fillId="9" borderId="12" xfId="1" applyNumberFormat="1" applyFont="1" applyFill="1" applyBorder="1" applyAlignment="1" applyProtection="1">
      <alignment horizontal="center"/>
      <protection locked="0"/>
    </xf>
    <xf numFmtId="10" fontId="14" fillId="9" borderId="6" xfId="1" applyNumberFormat="1" applyFont="1" applyFill="1" applyBorder="1" applyAlignment="1" applyProtection="1">
      <alignment horizontal="center"/>
      <protection locked="0"/>
    </xf>
    <xf numFmtId="0" fontId="14" fillId="0" borderId="7" xfId="0" applyFont="1" applyBorder="1"/>
    <xf numFmtId="10" fontId="14" fillId="9" borderId="2" xfId="1" applyNumberFormat="1" applyFont="1" applyFill="1" applyBorder="1" applyAlignment="1" applyProtection="1">
      <alignment horizontal="center"/>
      <protection locked="0"/>
    </xf>
    <xf numFmtId="10" fontId="14" fillId="9" borderId="8" xfId="1" applyNumberFormat="1" applyFont="1" applyFill="1" applyBorder="1" applyAlignment="1" applyProtection="1">
      <alignment horizontal="center"/>
      <protection locked="0"/>
    </xf>
    <xf numFmtId="0" fontId="14" fillId="0" borderId="16" xfId="0" applyFont="1" applyBorder="1"/>
    <xf numFmtId="165" fontId="14" fillId="9" borderId="18" xfId="0" applyNumberFormat="1" applyFont="1" applyFill="1" applyBorder="1" applyAlignment="1" applyProtection="1">
      <alignment horizontal="center"/>
      <protection locked="0"/>
    </xf>
    <xf numFmtId="165" fontId="14" fillId="9" borderId="10" xfId="0" applyNumberFormat="1" applyFont="1" applyFill="1" applyBorder="1" applyAlignment="1" applyProtection="1">
      <alignment horizontal="center"/>
      <protection locked="0"/>
    </xf>
    <xf numFmtId="0" fontId="1" fillId="0" borderId="101" xfId="8" applyFont="1" applyBorder="1">
      <alignment vertical="center"/>
    </xf>
    <xf numFmtId="184" fontId="1" fillId="14" borderId="0" xfId="9" applyNumberFormat="1" applyFont="1" applyFill="1"/>
    <xf numFmtId="184" fontId="1" fillId="14" borderId="0" xfId="10" applyNumberFormat="1" applyFont="1" applyFill="1" applyAlignment="1"/>
    <xf numFmtId="0" fontId="1" fillId="0" borderId="97" xfId="0" applyFont="1" applyBorder="1" applyAlignment="1">
      <alignment horizontal="left" vertical="center"/>
    </xf>
    <xf numFmtId="172" fontId="1" fillId="0" borderId="97" xfId="0" applyNumberFormat="1" applyFont="1" applyBorder="1" applyAlignment="1">
      <alignment horizontal="right" vertical="center"/>
    </xf>
    <xf numFmtId="179" fontId="1" fillId="0" borderId="97" xfId="0" applyNumberFormat="1" applyFont="1" applyBorder="1" applyAlignment="1">
      <alignment horizontal="right" vertical="center"/>
    </xf>
    <xf numFmtId="0" fontId="1" fillId="0" borderId="95" xfId="8" applyFont="1">
      <alignment vertical="center"/>
    </xf>
    <xf numFmtId="10" fontId="1" fillId="14" borderId="95" xfId="11" applyFont="1" applyFill="1" applyBorder="1" applyAlignment="1">
      <alignment horizontal="right"/>
    </xf>
    <xf numFmtId="10" fontId="1" fillId="14" borderId="95" xfId="12" applyNumberFormat="1" applyFont="1" applyFill="1" applyBorder="1" applyAlignment="1"/>
    <xf numFmtId="0" fontId="1" fillId="0" borderId="0" xfId="0" applyFont="1" applyAlignment="1">
      <alignment horizontal="left" vertical="center"/>
    </xf>
    <xf numFmtId="179" fontId="1" fillId="0" borderId="0" xfId="0" applyNumberFormat="1" applyFont="1" applyAlignment="1">
      <alignment horizontal="right" vertical="center"/>
    </xf>
    <xf numFmtId="1" fontId="1" fillId="14" borderId="95" xfId="12" applyFont="1" applyFill="1" applyBorder="1"/>
    <xf numFmtId="1" fontId="1" fillId="14" borderId="95" xfId="12" applyFont="1" applyFill="1" applyBorder="1" applyAlignment="1"/>
    <xf numFmtId="1" fontId="1" fillId="14" borderId="0" xfId="12" applyFont="1" applyFill="1"/>
    <xf numFmtId="165" fontId="1" fillId="0" borderId="97" xfId="0" applyNumberFormat="1" applyFont="1" applyBorder="1" applyAlignment="1">
      <alignment horizontal="right" vertical="center"/>
    </xf>
    <xf numFmtId="184" fontId="1" fillId="14" borderId="95" xfId="10" applyNumberFormat="1" applyFont="1" applyFill="1" applyBorder="1" applyAlignment="1"/>
    <xf numFmtId="165" fontId="1" fillId="0" borderId="96" xfId="0" applyNumberFormat="1" applyFont="1" applyBorder="1" applyAlignment="1">
      <alignment horizontal="left" vertical="center"/>
    </xf>
    <xf numFmtId="0" fontId="1" fillId="0" borderId="96" xfId="6" applyFont="1" applyBorder="1"/>
    <xf numFmtId="10" fontId="1" fillId="0" borderId="96" xfId="0" applyNumberFormat="1" applyFont="1" applyBorder="1" applyAlignment="1">
      <alignment horizontal="right" vertical="center"/>
    </xf>
    <xf numFmtId="184" fontId="1" fillId="14" borderId="95" xfId="9" applyNumberFormat="1" applyFont="1" applyFill="1" applyBorder="1"/>
    <xf numFmtId="14" fontId="1" fillId="14" borderId="95" xfId="13" applyFont="1" applyFill="1" applyBorder="1"/>
    <xf numFmtId="6" fontId="1" fillId="0" borderId="97" xfId="0" applyNumberFormat="1" applyFont="1" applyBorder="1" applyAlignment="1">
      <alignment horizontal="right" vertical="center"/>
    </xf>
    <xf numFmtId="0" fontId="1" fillId="2" borderId="0" xfId="0" applyFont="1" applyFill="1"/>
    <xf numFmtId="0" fontId="1" fillId="0" borderId="84" xfId="0" applyFont="1" applyBorder="1"/>
    <xf numFmtId="0" fontId="1" fillId="0" borderId="0" xfId="0" applyFont="1"/>
    <xf numFmtId="0" fontId="1" fillId="0" borderId="55" xfId="0" applyFont="1" applyBorder="1"/>
    <xf numFmtId="0" fontId="1" fillId="0" borderId="88" xfId="0" applyFont="1" applyBorder="1"/>
    <xf numFmtId="0" fontId="1" fillId="0" borderId="87" xfId="0" applyFont="1" applyBorder="1"/>
    <xf numFmtId="0" fontId="1" fillId="0" borderId="58" xfId="0" applyFont="1" applyBorder="1"/>
    <xf numFmtId="0" fontId="1" fillId="0" borderId="0" xfId="0" applyFont="1" applyAlignment="1">
      <alignment vertical="center"/>
    </xf>
    <xf numFmtId="0" fontId="1" fillId="2" borderId="0" xfId="0" applyFont="1" applyFill="1" applyAlignment="1">
      <alignment vertical="center"/>
    </xf>
    <xf numFmtId="165" fontId="1" fillId="2" borderId="0" xfId="0" applyNumberFormat="1" applyFont="1" applyFill="1" applyAlignment="1">
      <alignment vertical="center"/>
    </xf>
    <xf numFmtId="191" fontId="1" fillId="2" borderId="0" xfId="0" applyNumberFormat="1" applyFont="1" applyFill="1" applyAlignment="1">
      <alignment vertical="center"/>
    </xf>
    <xf numFmtId="4" fontId="1" fillId="2" borderId="0" xfId="0" applyNumberFormat="1" applyFont="1" applyFill="1" applyAlignment="1">
      <alignment vertical="center"/>
    </xf>
    <xf numFmtId="0" fontId="25" fillId="0" borderId="39" xfId="4" applyFont="1" applyFill="1" applyBorder="1" applyAlignment="1">
      <alignment horizontal="left" vertical="center"/>
    </xf>
    <xf numFmtId="0" fontId="22" fillId="0" borderId="40" xfId="4" applyFont="1" applyBorder="1" applyAlignment="1">
      <alignment vertical="center"/>
    </xf>
    <xf numFmtId="6" fontId="14" fillId="0" borderId="39" xfId="4" applyNumberFormat="1" applyFont="1" applyBorder="1" applyAlignment="1">
      <alignment vertical="center"/>
    </xf>
    <xf numFmtId="0" fontId="19" fillId="11" borderId="40" xfId="4" applyFont="1" applyFill="1" applyBorder="1" applyAlignment="1">
      <alignment horizontal="left" vertical="center"/>
    </xf>
    <xf numFmtId="0" fontId="19" fillId="11" borderId="42" xfId="4" applyFont="1" applyFill="1" applyBorder="1" applyAlignment="1">
      <alignment horizontal="left" vertical="center"/>
    </xf>
    <xf numFmtId="0" fontId="19" fillId="11" borderId="41" xfId="4" applyFont="1" applyFill="1" applyBorder="1" applyAlignment="1">
      <alignment horizontal="left" vertical="center"/>
    </xf>
    <xf numFmtId="0" fontId="19" fillId="11" borderId="39" xfId="4" applyFont="1" applyFill="1" applyBorder="1" applyAlignment="1">
      <alignment horizontal="left" vertical="center"/>
    </xf>
    <xf numFmtId="0" fontId="16" fillId="13" borderId="40" xfId="4" applyFont="1" applyFill="1" applyBorder="1" applyAlignment="1">
      <alignment horizontal="left" vertical="center"/>
    </xf>
    <xf numFmtId="0" fontId="16" fillId="13" borderId="41" xfId="4" applyFont="1" applyFill="1" applyBorder="1" applyAlignment="1">
      <alignment horizontal="left" vertical="center"/>
    </xf>
    <xf numFmtId="0" fontId="19" fillId="7" borderId="24" xfId="0" applyFont="1" applyFill="1" applyBorder="1" applyAlignment="1">
      <alignment horizontal="left" vertical="center"/>
    </xf>
    <xf numFmtId="0" fontId="19" fillId="7" borderId="30" xfId="0" applyFont="1" applyFill="1" applyBorder="1" applyAlignment="1">
      <alignment horizontal="left" vertical="center"/>
    </xf>
    <xf numFmtId="0" fontId="19" fillId="7" borderId="25" xfId="0" applyFont="1" applyFill="1" applyBorder="1" applyAlignment="1">
      <alignment horizontal="left" vertical="center"/>
    </xf>
    <xf numFmtId="0" fontId="19" fillId="7" borderId="21" xfId="0" applyFont="1" applyFill="1" applyBorder="1" applyAlignment="1">
      <alignment horizontal="left" vertical="center"/>
    </xf>
    <xf numFmtId="0" fontId="19" fillId="7" borderId="22" xfId="0" applyFont="1" applyFill="1" applyBorder="1" applyAlignment="1">
      <alignment horizontal="left" vertical="center"/>
    </xf>
    <xf numFmtId="0" fontId="14" fillId="0" borderId="73" xfId="0" applyFont="1" applyBorder="1" applyAlignment="1">
      <alignment horizontal="left" vertical="center"/>
    </xf>
    <xf numFmtId="0" fontId="14" fillId="0" borderId="74" xfId="0" applyFont="1" applyBorder="1" applyAlignment="1">
      <alignment horizontal="left" vertical="center"/>
    </xf>
    <xf numFmtId="0" fontId="14" fillId="0" borderId="63" xfId="0" applyFont="1" applyBorder="1" applyAlignment="1" applyProtection="1">
      <alignment horizontal="left" vertical="center"/>
      <protection locked="0"/>
    </xf>
    <xf numFmtId="0" fontId="14" fillId="0" borderId="64" xfId="0" applyFont="1" applyBorder="1" applyAlignment="1" applyProtection="1">
      <alignment horizontal="left" vertical="center"/>
      <protection locked="0"/>
    </xf>
    <xf numFmtId="0" fontId="20" fillId="3" borderId="65" xfId="0" applyFont="1" applyFill="1" applyBorder="1" applyAlignment="1">
      <alignment horizontal="left" vertical="center"/>
    </xf>
    <xf numFmtId="0" fontId="20" fillId="3" borderId="66" xfId="0" applyFont="1" applyFill="1" applyBorder="1" applyAlignment="1">
      <alignment horizontal="left" vertical="center"/>
    </xf>
    <xf numFmtId="0" fontId="14" fillId="0" borderId="67" xfId="0" applyFont="1" applyBorder="1" applyAlignment="1" applyProtection="1">
      <alignment horizontal="left" vertical="center"/>
      <protection locked="0"/>
    </xf>
    <xf numFmtId="0" fontId="14" fillId="0" borderId="68" xfId="0" applyFont="1" applyBorder="1" applyAlignment="1" applyProtection="1">
      <alignment horizontal="left" vertical="center"/>
      <protection locked="0"/>
    </xf>
    <xf numFmtId="0" fontId="14" fillId="0" borderId="70" xfId="0" quotePrefix="1" applyFont="1" applyBorder="1" applyAlignment="1">
      <alignment horizontal="left" vertical="center"/>
    </xf>
    <xf numFmtId="0" fontId="14" fillId="0" borderId="71" xfId="0" quotePrefix="1" applyFont="1" applyBorder="1" applyAlignment="1">
      <alignment horizontal="left" vertical="center"/>
    </xf>
    <xf numFmtId="0" fontId="14" fillId="0" borderId="26" xfId="0" applyFont="1" applyBorder="1" applyAlignment="1">
      <alignment vertical="center"/>
    </xf>
    <xf numFmtId="0" fontId="14" fillId="0" borderId="5" xfId="0" applyFont="1" applyBorder="1" applyAlignment="1">
      <alignment vertical="center"/>
    </xf>
    <xf numFmtId="0" fontId="14" fillId="0" borderId="87" xfId="0" applyFont="1" applyBorder="1" applyAlignment="1">
      <alignment vertical="center"/>
    </xf>
    <xf numFmtId="0" fontId="14" fillId="0" borderId="98" xfId="0" applyFont="1" applyBorder="1" applyAlignment="1">
      <alignment vertical="center"/>
    </xf>
    <xf numFmtId="0" fontId="14" fillId="0" borderId="9" xfId="0" applyFont="1" applyBorder="1" applyAlignment="1">
      <alignment vertical="center"/>
    </xf>
    <xf numFmtId="0" fontId="14" fillId="0" borderId="17" xfId="0" applyFont="1" applyBorder="1" applyAlignment="1">
      <alignment vertical="center"/>
    </xf>
    <xf numFmtId="0" fontId="14" fillId="0" borderId="26" xfId="0" applyFont="1" applyBorder="1" applyAlignment="1">
      <alignment horizontal="left" vertical="center"/>
    </xf>
    <xf numFmtId="0" fontId="14" fillId="0" borderId="5" xfId="0" applyFont="1" applyBorder="1" applyAlignment="1">
      <alignment horizontal="left" vertical="center"/>
    </xf>
    <xf numFmtId="165" fontId="14" fillId="0" borderId="1" xfId="0" applyNumberFormat="1" applyFont="1" applyBorder="1" applyAlignment="1">
      <alignment horizontal="right" vertical="center"/>
    </xf>
    <xf numFmtId="165" fontId="14" fillId="0" borderId="15" xfId="0" applyNumberFormat="1" applyFont="1" applyBorder="1" applyAlignment="1">
      <alignment horizontal="right" vertical="center"/>
    </xf>
    <xf numFmtId="0" fontId="14" fillId="0" borderId="29" xfId="0" applyFont="1" applyBorder="1" applyAlignment="1">
      <alignment vertical="center"/>
    </xf>
    <xf numFmtId="0" fontId="14" fillId="0" borderId="3" xfId="0" applyFont="1" applyBorder="1" applyAlignment="1">
      <alignment vertical="center"/>
    </xf>
    <xf numFmtId="165" fontId="14" fillId="0" borderId="4" xfId="1" applyNumberFormat="1" applyFont="1" applyFill="1" applyBorder="1" applyAlignment="1" applyProtection="1">
      <alignment horizontal="right" vertical="center"/>
      <protection locked="0"/>
    </xf>
    <xf numFmtId="165" fontId="14" fillId="0" borderId="14" xfId="1" applyNumberFormat="1" applyFont="1" applyFill="1" applyBorder="1" applyAlignment="1" applyProtection="1">
      <alignment horizontal="right" vertical="center"/>
      <protection locked="0"/>
    </xf>
    <xf numFmtId="0" fontId="16" fillId="13" borderId="36" xfId="0" applyFont="1" applyFill="1" applyBorder="1" applyAlignment="1">
      <alignment horizontal="center" vertical="center"/>
    </xf>
    <xf numFmtId="0" fontId="16" fillId="13" borderId="38" xfId="0" applyFont="1" applyFill="1" applyBorder="1" applyAlignment="1">
      <alignment horizontal="center" vertical="center"/>
    </xf>
    <xf numFmtId="168" fontId="14" fillId="0" borderId="1" xfId="1" applyNumberFormat="1" applyFont="1" applyBorder="1" applyAlignment="1" applyProtection="1">
      <alignment horizontal="right" vertical="center"/>
    </xf>
    <xf numFmtId="168" fontId="14" fillId="0" borderId="15" xfId="1" applyNumberFormat="1" applyFont="1" applyBorder="1" applyAlignment="1" applyProtection="1">
      <alignment horizontal="right"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16" fillId="13" borderId="36" xfId="0" applyFont="1" applyFill="1" applyBorder="1" applyAlignment="1">
      <alignment horizontal="left" vertical="center"/>
    </xf>
    <xf numFmtId="0" fontId="16" fillId="13" borderId="37" xfId="0" applyFont="1" applyFill="1" applyBorder="1" applyAlignment="1">
      <alignment horizontal="left" vertical="center"/>
    </xf>
    <xf numFmtId="0" fontId="29" fillId="7" borderId="82" xfId="0" applyFont="1" applyFill="1" applyBorder="1" applyAlignment="1">
      <alignment horizontal="left"/>
    </xf>
    <xf numFmtId="0" fontId="1" fillId="0" borderId="88" xfId="0" applyFont="1" applyBorder="1" applyAlignment="1">
      <alignment horizontal="left"/>
    </xf>
    <xf numFmtId="0" fontId="19" fillId="7" borderId="24" xfId="0" applyFont="1" applyFill="1" applyBorder="1" applyAlignment="1">
      <alignment horizontal="center" vertical="center"/>
    </xf>
    <xf numFmtId="0" fontId="19" fillId="7" borderId="25" xfId="0" applyFont="1" applyFill="1" applyBorder="1" applyAlignment="1">
      <alignment horizontal="center" vertical="center"/>
    </xf>
    <xf numFmtId="0" fontId="30" fillId="3" borderId="21" xfId="0" applyFont="1" applyFill="1" applyBorder="1" applyAlignment="1">
      <alignment horizontal="center" vertical="center"/>
    </xf>
    <xf numFmtId="0" fontId="30" fillId="3" borderId="22" xfId="0" applyFont="1" applyFill="1" applyBorder="1" applyAlignment="1">
      <alignment horizontal="center" vertical="center"/>
    </xf>
    <xf numFmtId="0" fontId="34" fillId="0" borderId="100" xfId="5" applyFont="1" applyBorder="1" applyAlignment="1">
      <alignment horizontal="left" vertical="center"/>
    </xf>
    <xf numFmtId="174" fontId="1" fillId="0" borderId="0" xfId="0" applyNumberFormat="1" applyFont="1" applyAlignment="1">
      <alignment horizontal="right" vertical="center"/>
    </xf>
    <xf numFmtId="174" fontId="1" fillId="0" borderId="97" xfId="0" applyNumberFormat="1" applyFont="1" applyBorder="1" applyAlignment="1">
      <alignment horizontal="right" vertical="center"/>
    </xf>
    <xf numFmtId="176" fontId="1" fillId="0" borderId="97" xfId="0" applyNumberFormat="1" applyFont="1" applyBorder="1" applyAlignment="1">
      <alignment horizontal="left" vertical="center" indent="1"/>
    </xf>
    <xf numFmtId="165" fontId="1" fillId="0" borderId="97" xfId="0" applyNumberFormat="1" applyFont="1" applyBorder="1" applyAlignment="1">
      <alignment horizontal="left" vertical="center"/>
    </xf>
    <xf numFmtId="178" fontId="1" fillId="0" borderId="97" xfId="0" applyNumberFormat="1" applyFont="1" applyBorder="1" applyAlignment="1">
      <alignment horizontal="left" vertical="center"/>
    </xf>
    <xf numFmtId="0" fontId="19" fillId="12" borderId="89" xfId="0" applyFont="1" applyFill="1" applyBorder="1" applyAlignment="1">
      <alignment horizontal="left"/>
    </xf>
    <xf numFmtId="0" fontId="19" fillId="12" borderId="90" xfId="0" applyFont="1" applyFill="1" applyBorder="1" applyAlignment="1">
      <alignment horizontal="left"/>
    </xf>
    <xf numFmtId="0" fontId="19" fillId="12" borderId="91" xfId="0" applyFont="1" applyFill="1" applyBorder="1" applyAlignment="1">
      <alignment horizontal="left"/>
    </xf>
  </cellXfs>
  <cellStyles count="20">
    <cellStyle name="Betrag" xfId="9"/>
    <cellStyle name="Currency" xfId="3"/>
    <cellStyle name="Darlehensübersicht" xfId="10"/>
    <cellStyle name="Datum" xfId="13"/>
    <cellStyle name="Eingabe 2" xfId="15"/>
    <cellStyle name="Erklärender Text 2" xfId="8"/>
    <cellStyle name="Link 2" xfId="19"/>
    <cellStyle name="Nummer" xfId="12"/>
    <cellStyle name="Prozent" xfId="1" builtinId="5"/>
    <cellStyle name="Prozent 2" xfId="11"/>
    <cellStyle name="Standard" xfId="0" builtinId="0"/>
    <cellStyle name="Standard 2" xfId="6"/>
    <cellStyle name="Standard 5" xfId="4"/>
    <cellStyle name="Tabellenbetrag" xfId="18"/>
    <cellStyle name="Überschrift 1 2" xfId="5"/>
    <cellStyle name="Überschrift 2 2" xfId="7"/>
    <cellStyle name="Überschrift 3 2" xfId="14"/>
    <cellStyle name="Überschrift 4 2" xfId="16"/>
    <cellStyle name="Überschrift 4 rechtsbündig" xfId="17"/>
    <cellStyle name="Währung 3" xfId="2"/>
  </cellStyles>
  <dxfs count="32">
    <dxf>
      <font>
        <strike val="0"/>
        <outline val="0"/>
        <shadow val="0"/>
        <u val="none"/>
        <vertAlign val="baseline"/>
        <sz val="11"/>
        <color theme="0" tint="-4.9989318521683403E-2"/>
        <name val="Bierstadt"/>
        <scheme val="none"/>
      </font>
    </dxf>
    <dxf>
      <font>
        <strike val="0"/>
        <outline val="0"/>
        <shadow val="0"/>
        <u val="none"/>
        <vertAlign val="baseline"/>
        <sz val="11"/>
        <color theme="0" tint="-4.9989318521683403E-2"/>
        <name val="Bierstadt"/>
        <scheme val="none"/>
      </font>
    </dxf>
    <dxf>
      <font>
        <strike val="0"/>
        <outline val="0"/>
        <shadow val="0"/>
        <u val="none"/>
        <vertAlign val="baseline"/>
        <sz val="11"/>
        <color theme="0" tint="-4.9989318521683403E-2"/>
        <name val="Bierstadt"/>
        <scheme val="none"/>
      </font>
      <numFmt numFmtId="179" formatCode="#,##0.00\ &quot;€&quot;"/>
    </dxf>
    <dxf>
      <font>
        <strike val="0"/>
        <outline val="0"/>
        <shadow val="0"/>
        <u val="none"/>
        <vertAlign val="baseline"/>
        <sz val="11"/>
        <color theme="0" tint="-4.9989318521683403E-2"/>
        <name val="Bierstadt"/>
        <scheme val="none"/>
      </font>
    </dxf>
    <dxf>
      <font>
        <strike val="0"/>
        <outline val="0"/>
        <shadow val="0"/>
        <u val="none"/>
        <vertAlign val="baseline"/>
        <sz val="11"/>
        <color theme="0" tint="-4.9989318521683403E-2"/>
        <name val="Bierstadt"/>
        <scheme val="none"/>
      </font>
    </dxf>
    <dxf>
      <font>
        <strike val="0"/>
        <outline val="0"/>
        <shadow val="0"/>
        <u val="none"/>
        <vertAlign val="baseline"/>
        <sz val="11"/>
        <color theme="0" tint="-4.9989318521683403E-2"/>
        <name val="Bierstadt"/>
        <scheme val="none"/>
      </font>
    </dxf>
    <dxf>
      <font>
        <strike val="0"/>
        <outline val="0"/>
        <shadow val="0"/>
        <u val="none"/>
        <vertAlign val="baseline"/>
        <sz val="11"/>
        <color theme="0" tint="-4.9989318521683403E-2"/>
        <name val="Bierstadt"/>
        <scheme val="none"/>
      </font>
    </dxf>
    <dxf>
      <font>
        <strike val="0"/>
        <outline val="0"/>
        <shadow val="0"/>
        <u val="none"/>
        <vertAlign val="baseline"/>
        <sz val="11"/>
        <color theme="0" tint="-4.9989318521683403E-2"/>
        <name val="Bierstadt"/>
        <scheme val="none"/>
      </font>
    </dxf>
    <dxf>
      <font>
        <strike val="0"/>
        <outline val="0"/>
        <shadow val="0"/>
        <u val="none"/>
        <vertAlign val="baseline"/>
        <sz val="11"/>
        <color theme="0" tint="-4.9989318521683403E-2"/>
        <name val="Bierstadt"/>
        <scheme val="none"/>
      </font>
      <alignment horizontal="left" vertical="bottom" textRotation="0" wrapText="0" indent="0" justifyLastLine="0" shrinkToFit="0" readingOrder="0"/>
    </dxf>
    <dxf>
      <font>
        <strike val="0"/>
        <outline val="0"/>
        <shadow val="0"/>
        <u val="none"/>
        <vertAlign val="baseline"/>
        <sz val="11"/>
        <color theme="0" tint="-4.9989318521683403E-2"/>
        <name val="Bierstadt"/>
        <scheme val="none"/>
      </font>
      <alignment horizontal="left" vertical="bottom" textRotation="0" wrapText="0" indent="0" justifyLastLine="0" shrinkToFit="0" readingOrder="0"/>
    </dxf>
    <dxf>
      <font>
        <strike val="0"/>
        <outline val="0"/>
        <shadow val="0"/>
        <u val="none"/>
        <vertAlign val="baseline"/>
        <sz val="11"/>
        <color theme="0" tint="-4.9989318521683403E-2"/>
        <name val="Bierstadt"/>
        <scheme val="none"/>
      </font>
    </dxf>
    <dxf>
      <font>
        <strike val="0"/>
        <outline val="0"/>
        <shadow val="0"/>
        <u val="none"/>
        <vertAlign val="baseline"/>
        <sz val="12"/>
        <color theme="0"/>
        <name val="Bierstadt"/>
        <scheme val="none"/>
      </font>
      <fill>
        <patternFill patternType="solid">
          <fgColor indexed="64"/>
          <bgColor theme="1" tint="0.249977111117893"/>
        </patternFill>
      </fill>
    </dxf>
    <dxf>
      <font>
        <color theme="0"/>
      </font>
      <fill>
        <patternFill>
          <bgColor theme="0"/>
        </patternFill>
      </fill>
      <border>
        <left/>
        <right/>
        <top/>
        <bottom/>
        <vertical/>
        <horizontal/>
      </border>
    </dxf>
    <dxf>
      <font>
        <b/>
        <i val="0"/>
        <color rgb="FF66FF33"/>
      </font>
      <fill>
        <patternFill>
          <bgColor rgb="FF008000"/>
        </patternFill>
      </fill>
    </dxf>
    <dxf>
      <font>
        <b/>
        <i val="0"/>
        <color rgb="FFFFFF00"/>
      </font>
      <fill>
        <patternFill>
          <bgColor rgb="FFFF9933"/>
        </patternFill>
      </fill>
    </dxf>
    <dxf>
      <font>
        <b/>
        <i val="0"/>
        <color rgb="FFFF9999"/>
      </font>
      <fill>
        <patternFill>
          <bgColor rgb="FFC00000"/>
        </patternFill>
      </fill>
    </dxf>
    <dxf>
      <font>
        <b/>
        <i val="0"/>
        <color rgb="FF66FF33"/>
      </font>
      <fill>
        <patternFill>
          <bgColor rgb="FF008000"/>
        </patternFill>
      </fill>
    </dxf>
    <dxf>
      <font>
        <b/>
        <i val="0"/>
        <color rgb="FFFFFF00"/>
      </font>
      <fill>
        <patternFill>
          <bgColor rgb="FFFF9933"/>
        </patternFill>
      </fill>
    </dxf>
    <dxf>
      <font>
        <b/>
        <i val="0"/>
        <color rgb="FFFF9999"/>
      </font>
      <fill>
        <patternFill>
          <bgColor rgb="FFC00000"/>
        </patternFill>
      </fill>
    </dxf>
    <dxf>
      <font>
        <b/>
        <i val="0"/>
        <color rgb="FF66FF33"/>
      </font>
      <fill>
        <patternFill>
          <bgColor rgb="FF008000"/>
        </patternFill>
      </fill>
    </dxf>
    <dxf>
      <font>
        <b/>
        <i val="0"/>
        <color rgb="FFFFFF00"/>
      </font>
      <fill>
        <patternFill>
          <bgColor rgb="FFFF9933"/>
        </patternFill>
      </fill>
    </dxf>
    <dxf>
      <font>
        <b/>
        <i val="0"/>
        <color rgb="FFFF9999"/>
      </font>
      <fill>
        <patternFill>
          <bgColor rgb="FFC00000"/>
        </patternFill>
      </fill>
    </dxf>
    <dxf>
      <font>
        <b/>
        <i val="0"/>
        <color rgb="FF66FF33"/>
      </font>
      <fill>
        <patternFill>
          <bgColor rgb="FF008000"/>
        </patternFill>
      </fill>
    </dxf>
    <dxf>
      <font>
        <b/>
        <i val="0"/>
        <color rgb="FFFFFF00"/>
      </font>
      <fill>
        <patternFill>
          <bgColor rgb="FFFF9933"/>
        </patternFill>
      </fill>
    </dxf>
    <dxf>
      <font>
        <b/>
        <i val="0"/>
        <color rgb="FFFF9999"/>
      </font>
      <fill>
        <patternFill>
          <bgColor rgb="FFC00000"/>
        </patternFill>
      </fill>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Darlehenstilgungszeitplan" pivot="0" count="7">
      <tableStyleElement type="wholeTable" dxfId="31"/>
      <tableStyleElement type="headerRow" dxfId="30"/>
      <tableStyleElement type="totalRow" dxfId="29"/>
      <tableStyleElement type="firstColumn" dxfId="28"/>
      <tableStyleElement type="lastColumn" dxfId="27"/>
      <tableStyleElement type="firstRowStripe" dxfId="26"/>
      <tableStyleElement type="firstColumnStripe" dxfId="25"/>
    </tableStyle>
  </tableStyles>
  <colors>
    <mruColors>
      <color rgb="FF66FF33"/>
      <color rgb="FFFFCCCC"/>
      <color rgb="FF00CC00"/>
      <color rgb="FF990000"/>
      <color rgb="FF008000"/>
      <color rgb="FF800000"/>
      <color rgb="FF006600"/>
      <color rgb="FFFF5050"/>
      <color rgb="FFFF999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Bierstadt" panose="020B0004020202020204" pitchFamily="34" charset="0"/>
                <a:ea typeface="+mn-ea"/>
                <a:cs typeface="+mn-cs"/>
              </a:defRPr>
            </a:pPr>
            <a:r>
              <a:rPr lang="de-DE">
                <a:solidFill>
                  <a:schemeClr val="tx1"/>
                </a:solidFill>
                <a:latin typeface="Bierstadt" panose="020B0004020202020204" pitchFamily="34" charset="0"/>
              </a:rPr>
              <a:t>Kapitalbedarf</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Bierstadt" panose="020B0004020202020204" pitchFamily="34" charset="0"/>
              <a:ea typeface="+mn-ea"/>
              <a:cs typeface="+mn-cs"/>
            </a:defRPr>
          </a:pPr>
          <a:endParaRPr lang="de-DE"/>
        </a:p>
      </c:txPr>
    </c:title>
    <c:autoTitleDeleted val="0"/>
    <c:view3D>
      <c:rotX val="30"/>
      <c:rotY val="13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914930555555571E-2"/>
          <c:y val="0.1692666666666667"/>
          <c:w val="0.94369434746103675"/>
          <c:h val="0.76161298798798782"/>
        </c:manualLayout>
      </c:layout>
      <c:pie3DChart>
        <c:varyColors val="1"/>
        <c:ser>
          <c:idx val="0"/>
          <c:order val="0"/>
          <c:explosion val="10"/>
          <c:dPt>
            <c:idx val="0"/>
            <c:bubble3D val="0"/>
            <c:spPr>
              <a:solidFill>
                <a:srgbClr val="0070C0"/>
              </a:solidFill>
              <a:ln>
                <a:solidFill>
                  <a:schemeClr val="tx2">
                    <a:lumMod val="75000"/>
                  </a:schemeClr>
                </a:solidFill>
              </a:ln>
              <a:effectLst/>
              <a:sp3d>
                <a:contourClr>
                  <a:schemeClr val="tx2">
                    <a:lumMod val="75000"/>
                  </a:schemeClr>
                </a:contourClr>
              </a:sp3d>
            </c:spPr>
            <c:extLst>
              <c:ext xmlns:c16="http://schemas.microsoft.com/office/drawing/2014/chart" uri="{C3380CC4-5D6E-409C-BE32-E72D297353CC}">
                <c16:uniqueId val="{0000000D-B165-43DD-8B38-D3672661C880}"/>
              </c:ext>
            </c:extLst>
          </c:dPt>
          <c:dPt>
            <c:idx val="1"/>
            <c:bubble3D val="0"/>
            <c:spPr>
              <a:solidFill>
                <a:schemeClr val="bg1">
                  <a:lumMod val="65000"/>
                </a:schemeClr>
              </a:solidFill>
              <a:ln>
                <a:solidFill>
                  <a:schemeClr val="tx1">
                    <a:lumMod val="85000"/>
                    <a:lumOff val="15000"/>
                  </a:schemeClr>
                </a:solidFill>
              </a:ln>
              <a:effectLst/>
              <a:sp3d>
                <a:contourClr>
                  <a:schemeClr val="tx1">
                    <a:lumMod val="85000"/>
                    <a:lumOff val="15000"/>
                  </a:schemeClr>
                </a:contourClr>
              </a:sp3d>
            </c:spPr>
            <c:extLst>
              <c:ext xmlns:c16="http://schemas.microsoft.com/office/drawing/2014/chart" uri="{C3380CC4-5D6E-409C-BE32-E72D297353CC}">
                <c16:uniqueId val="{00000009-B165-43DD-8B38-D3672661C880}"/>
              </c:ext>
            </c:extLst>
          </c:dPt>
          <c:dPt>
            <c:idx val="2"/>
            <c:bubble3D val="0"/>
            <c:spPr>
              <a:solidFill>
                <a:srgbClr val="66FF33"/>
              </a:solidFill>
              <a:ln>
                <a:solidFill>
                  <a:schemeClr val="accent6">
                    <a:lumMod val="50000"/>
                  </a:schemeClr>
                </a:solidFill>
              </a:ln>
              <a:effectLst/>
              <a:sp3d>
                <a:contourClr>
                  <a:schemeClr val="accent6">
                    <a:lumMod val="50000"/>
                  </a:schemeClr>
                </a:contourClr>
              </a:sp3d>
            </c:spPr>
            <c:extLst>
              <c:ext xmlns:c16="http://schemas.microsoft.com/office/drawing/2014/chart" uri="{C3380CC4-5D6E-409C-BE32-E72D297353CC}">
                <c16:uniqueId val="{0000000C-B165-43DD-8B38-D3672661C880}"/>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165-43DD-8B38-D3672661C880}"/>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165-43DD-8B38-D3672661C880}"/>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165-43DD-8B38-D3672661C880}"/>
                </c:ext>
              </c:extLst>
            </c:dLbl>
            <c:spPr>
              <a:solidFill>
                <a:schemeClr val="lt1"/>
              </a:solidFill>
              <a:ln>
                <a:solidFill>
                  <a:schemeClr val="tx1"/>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solidFill>
                    <a:latin typeface="Bierstadt" panose="020B0004020202020204" pitchFamily="34" charset="0"/>
                    <a:ea typeface="+mn-ea"/>
                    <a:cs typeface="+mn-cs"/>
                  </a:defRPr>
                </a:pPr>
                <a:endParaRPr lang="de-DE"/>
              </a:p>
            </c:tx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ext>
            </c:extLst>
          </c:dLbls>
          <c:cat>
            <c:strRef>
              <c:f>Bank!$C$13:$C$15</c:f>
              <c:strCache>
                <c:ptCount val="3"/>
                <c:pt idx="0">
                  <c:v>Kaufpreis</c:v>
                </c:pt>
                <c:pt idx="1">
                  <c:v>Erwerbsnebenkosten</c:v>
                </c:pt>
                <c:pt idx="2">
                  <c:v>Anfängliche Investitionen</c:v>
                </c:pt>
              </c:strCache>
            </c:strRef>
          </c:cat>
          <c:val>
            <c:numRef>
              <c:f>Bank!$D$13:$D$15</c:f>
              <c:numCache>
                <c:formatCode>#,##0\ "€"</c:formatCode>
                <c:ptCount val="3"/>
                <c:pt idx="0">
                  <c:v>150000</c:v>
                </c:pt>
                <c:pt idx="1">
                  <c:v>18855</c:v>
                </c:pt>
                <c:pt idx="2">
                  <c:v>13000</c:v>
                </c:pt>
              </c:numCache>
            </c:numRef>
          </c:val>
          <c:extLst>
            <c:ext xmlns:c16="http://schemas.microsoft.com/office/drawing/2014/chart" uri="{C3380CC4-5D6E-409C-BE32-E72D297353CC}">
              <c16:uniqueId val="{00000000-B165-43DD-8B38-D3672661C88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00000769079827E-2"/>
          <c:y val="0.89385210210210209"/>
          <c:w val="0.89999984618403484"/>
          <c:h val="8.707882882882883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Bierstadt" panose="020B0004020202020204" pitchFamily="34" charset="0"/>
              <a:ea typeface="+mn-ea"/>
              <a:cs typeface="+mn-cs"/>
            </a:defRPr>
          </a:pPr>
          <a:endParaRPr lang="de-DE"/>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0000000000000018" r="0.70000000000000018" t="0.78740157499999996"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Bierstadt" panose="020B0004020202020204" pitchFamily="34" charset="0"/>
                <a:ea typeface="+mn-ea"/>
                <a:cs typeface="+mn-cs"/>
              </a:defRPr>
            </a:pPr>
            <a:r>
              <a:rPr lang="de-DE" sz="1600" b="1">
                <a:solidFill>
                  <a:schemeClr val="tx1"/>
                </a:solidFill>
                <a:latin typeface="Bierstadt" panose="020B0004020202020204" pitchFamily="34" charset="0"/>
              </a:rPr>
              <a:t>Cashflow</a:t>
            </a:r>
            <a:endParaRPr lang="de-DE" sz="1400" b="1">
              <a:solidFill>
                <a:schemeClr val="tx1"/>
              </a:solidFill>
              <a:latin typeface="Bierstadt" panose="020B00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Bierstadt" panose="020B0004020202020204" pitchFamily="34" charset="0"/>
              <a:ea typeface="+mn-ea"/>
              <a:cs typeface="+mn-cs"/>
            </a:defRPr>
          </a:pPr>
          <a:endParaRPr lang="de-DE"/>
        </a:p>
      </c:txPr>
    </c:title>
    <c:autoTitleDeleted val="0"/>
    <c:plotArea>
      <c:layout/>
      <c:barChart>
        <c:barDir val="col"/>
        <c:grouping val="stack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0800" dist="38100" dir="2700000" algn="tl" rotWithShape="0">
                <a:prstClr val="black">
                  <a:alpha val="40000"/>
                </a:prstClr>
              </a:outerShdw>
            </a:effectLst>
            <a:scene3d>
              <a:camera prst="orthographicFront"/>
              <a:lightRig rig="threePt" dir="t"/>
            </a:scene3d>
            <a:sp3d>
              <a:bevelT w="38100" h="12700"/>
            </a:sp3d>
          </c:spPr>
          <c:invertIfNegative val="0"/>
          <c:dPt>
            <c:idx val="0"/>
            <c:invertIfNegative val="0"/>
            <c:bubble3D val="0"/>
            <c:spPr>
              <a:solidFill>
                <a:schemeClr val="accent6"/>
              </a:solidFill>
              <a:ln>
                <a:solidFill>
                  <a:srgbClr val="006600"/>
                </a:solidFill>
              </a:ln>
              <a:effectLst>
                <a:outerShdw blurRad="50800" dist="38100" dir="2700000" algn="tl" rotWithShape="0">
                  <a:prstClr val="black">
                    <a:alpha val="40000"/>
                  </a:prstClr>
                </a:outerShdw>
              </a:effectLst>
              <a:scene3d>
                <a:camera prst="orthographicFront"/>
                <a:lightRig rig="threePt" dir="t"/>
              </a:scene3d>
              <a:sp3d>
                <a:bevelT w="38100" h="12700"/>
              </a:sp3d>
            </c:spPr>
            <c:extLst>
              <c:ext xmlns:c16="http://schemas.microsoft.com/office/drawing/2014/chart" uri="{C3380CC4-5D6E-409C-BE32-E72D297353CC}">
                <c16:uniqueId val="{0000000F-1E3E-4150-A874-A1721DBFBD91}"/>
              </c:ext>
            </c:extLst>
          </c:dPt>
          <c:dPt>
            <c:idx val="1"/>
            <c:invertIfNegative val="0"/>
            <c:bubble3D val="0"/>
            <c:spPr>
              <a:solidFill>
                <a:schemeClr val="accent4">
                  <a:lumMod val="60000"/>
                  <a:lumOff val="40000"/>
                </a:schemeClr>
              </a:solidFill>
              <a:ln>
                <a:solidFill>
                  <a:schemeClr val="accent4">
                    <a:lumMod val="75000"/>
                  </a:schemeClr>
                </a:solidFill>
              </a:ln>
              <a:effectLst>
                <a:outerShdw blurRad="50800" dist="38100" dir="2700000" algn="tl" rotWithShape="0">
                  <a:prstClr val="black">
                    <a:alpha val="40000"/>
                  </a:prstClr>
                </a:outerShdw>
              </a:effectLst>
              <a:scene3d>
                <a:camera prst="orthographicFront"/>
                <a:lightRig rig="threePt" dir="t"/>
              </a:scene3d>
              <a:sp3d>
                <a:bevelT w="38100" h="12700"/>
              </a:sp3d>
            </c:spPr>
            <c:extLst>
              <c:ext xmlns:c16="http://schemas.microsoft.com/office/drawing/2014/chart" uri="{C3380CC4-5D6E-409C-BE32-E72D297353CC}">
                <c16:uniqueId val="{00000014-1E3E-4150-A874-A1721DBFBD91}"/>
              </c:ext>
            </c:extLst>
          </c:dPt>
          <c:dLbls>
            <c:numFmt formatCode="#,##0\ &quot;€&quot;" sourceLinked="0"/>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1" i="0" u="none" strike="noStrike" kern="1200" baseline="0">
                    <a:solidFill>
                      <a:schemeClr val="tx1"/>
                    </a:solidFill>
                    <a:latin typeface="Bierstadt" panose="020B0004020202020204" pitchFamily="34" charset="0"/>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Bank!$I$22:$J$22</c:f>
              <c:strCache>
                <c:ptCount val="2"/>
                <c:pt idx="0">
                  <c:v>Einnahmen</c:v>
                </c:pt>
                <c:pt idx="1">
                  <c:v>Ausgaben</c:v>
                </c:pt>
              </c:strCache>
            </c:strRef>
          </c:cat>
          <c:val>
            <c:numRef>
              <c:f>Bank!$I$23:$J$23</c:f>
              <c:numCache>
                <c:formatCode>"€"#,##0.00_);[Red]\("€"#,##0.00\)</c:formatCode>
                <c:ptCount val="2"/>
                <c:pt idx="0">
                  <c:v>826.66666666666663</c:v>
                </c:pt>
                <c:pt idx="1">
                  <c:v>339.99999999999994</c:v>
                </c:pt>
              </c:numCache>
            </c:numRef>
          </c:val>
          <c:extLst>
            <c:ext xmlns:c16="http://schemas.microsoft.com/office/drawing/2014/chart" uri="{C3380CC4-5D6E-409C-BE32-E72D297353CC}">
              <c16:uniqueId val="{00000000-1E3E-4150-A874-A1721DBFBD91}"/>
            </c:ext>
          </c:extLst>
        </c:ser>
        <c:ser>
          <c:idx val="1"/>
          <c:order val="1"/>
          <c:spPr>
            <a:solidFill>
              <a:srgbClr val="FFFF00"/>
            </a:solidFill>
            <a:ln>
              <a:noFill/>
            </a:ln>
            <a:effectLst>
              <a:outerShdw blurRad="50800" dist="38100" dir="2700000" algn="tl" rotWithShape="0">
                <a:prstClr val="black">
                  <a:alpha val="40000"/>
                </a:prstClr>
              </a:outerShdw>
            </a:effectLst>
            <a:scene3d>
              <a:camera prst="orthographicFront"/>
              <a:lightRig rig="threePt" dir="t"/>
            </a:scene3d>
            <a:sp3d>
              <a:bevelT prst="angle"/>
            </a:sp3d>
          </c:spPr>
          <c:invertIfNegative val="0"/>
          <c:dPt>
            <c:idx val="1"/>
            <c:invertIfNegative val="0"/>
            <c:bubble3D val="0"/>
            <c:spPr>
              <a:solidFill>
                <a:schemeClr val="accent2">
                  <a:lumMod val="60000"/>
                  <a:lumOff val="40000"/>
                </a:schemeClr>
              </a:solidFill>
              <a:ln>
                <a:solidFill>
                  <a:schemeClr val="accent2">
                    <a:lumMod val="50000"/>
                  </a:schemeClr>
                </a:solidFill>
              </a:ln>
              <a:effectLst>
                <a:outerShdw blurRad="50800" dist="38100" dir="2700000" algn="tl" rotWithShape="0">
                  <a:prstClr val="black">
                    <a:alpha val="40000"/>
                  </a:prstClr>
                </a:outerShdw>
              </a:effectLst>
              <a:scene3d>
                <a:camera prst="orthographicFront"/>
                <a:lightRig rig="threePt" dir="t"/>
              </a:scene3d>
              <a:sp3d>
                <a:bevelT w="38100" h="12700" prst="angle"/>
              </a:sp3d>
            </c:spPr>
            <c:extLst>
              <c:ext xmlns:c16="http://schemas.microsoft.com/office/drawing/2014/chart" uri="{C3380CC4-5D6E-409C-BE32-E72D297353CC}">
                <c16:uniqueId val="{00000026-1E3E-4150-A874-A1721DBFBD91}"/>
              </c:ext>
            </c:extLst>
          </c:dPt>
          <c:dLbls>
            <c:dLbl>
              <c:idx val="0"/>
              <c:delete val="1"/>
              <c:extLst>
                <c:ext xmlns:c15="http://schemas.microsoft.com/office/drawing/2012/chart" uri="{CE6537A1-D6FC-4f65-9D91-7224C49458BB}"/>
                <c:ext xmlns:c16="http://schemas.microsoft.com/office/drawing/2014/chart" uri="{C3380CC4-5D6E-409C-BE32-E72D297353CC}">
                  <c16:uniqueId val="{00000008-7D48-4199-A3F5-09E1E2103E1B}"/>
                </c:ext>
              </c:extLst>
            </c:dLbl>
            <c:numFmt formatCode="#,##0\ &quot;€&quot;" sourceLinked="0"/>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1" i="0" u="none" strike="noStrike" kern="1200" baseline="0">
                    <a:solidFill>
                      <a:schemeClr val="tx1"/>
                    </a:solidFill>
                    <a:latin typeface="Bierstadt" panose="020B0004020202020204" pitchFamily="34" charset="0"/>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Bank!$I$22:$J$22</c:f>
              <c:strCache>
                <c:ptCount val="2"/>
                <c:pt idx="0">
                  <c:v>Einnahmen</c:v>
                </c:pt>
                <c:pt idx="1">
                  <c:v>Ausgaben</c:v>
                </c:pt>
              </c:strCache>
            </c:strRef>
          </c:cat>
          <c:val>
            <c:numRef>
              <c:f>Bank!$I$24:$J$24</c:f>
              <c:numCache>
                <c:formatCode>"€"#,##0.00_);[Red]\("€"#,##0.00\)</c:formatCode>
                <c:ptCount val="2"/>
                <c:pt idx="0">
                  <c:v>0</c:v>
                </c:pt>
                <c:pt idx="1">
                  <c:v>166.20329166666667</c:v>
                </c:pt>
              </c:numCache>
            </c:numRef>
          </c:val>
          <c:extLst>
            <c:ext xmlns:c16="http://schemas.microsoft.com/office/drawing/2014/chart" uri="{C3380CC4-5D6E-409C-BE32-E72D297353CC}">
              <c16:uniqueId val="{00000001-1E3E-4150-A874-A1721DBFBD91}"/>
            </c:ext>
          </c:extLst>
        </c:ser>
        <c:ser>
          <c:idx val="2"/>
          <c:order val="2"/>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0800" dist="38100" dir="2700000" algn="tl" rotWithShape="0">
                <a:prstClr val="black">
                  <a:alpha val="40000"/>
                </a:prstClr>
              </a:outerShdw>
            </a:effectLst>
            <a:scene3d>
              <a:camera prst="orthographicFront"/>
              <a:lightRig rig="threePt" dir="t"/>
            </a:scene3d>
          </c:spPr>
          <c:invertIfNegative val="0"/>
          <c:dPt>
            <c:idx val="1"/>
            <c:invertIfNegative val="0"/>
            <c:bubble3D val="0"/>
            <c:spPr>
              <a:solidFill>
                <a:srgbClr val="FF5050"/>
              </a:solidFill>
              <a:ln>
                <a:solidFill>
                  <a:srgbClr val="800000"/>
                </a:solidFill>
              </a:ln>
              <a:effectLst>
                <a:outerShdw blurRad="50800" dist="38100" dir="2700000" algn="tl" rotWithShape="0">
                  <a:prstClr val="black">
                    <a:alpha val="40000"/>
                  </a:prstClr>
                </a:outerShdw>
              </a:effectLst>
              <a:scene3d>
                <a:camera prst="orthographicFront"/>
                <a:lightRig rig="threePt" dir="t"/>
              </a:scene3d>
              <a:sp3d>
                <a:bevelT w="38100" h="12700" prst="angle"/>
              </a:sp3d>
            </c:spPr>
            <c:extLst>
              <c:ext xmlns:c16="http://schemas.microsoft.com/office/drawing/2014/chart" uri="{C3380CC4-5D6E-409C-BE32-E72D297353CC}">
                <c16:uniqueId val="{0000001A-1E3E-4150-A874-A1721DBFBD91}"/>
              </c:ext>
            </c:extLst>
          </c:dPt>
          <c:dLbls>
            <c:dLbl>
              <c:idx val="0"/>
              <c:delete val="1"/>
              <c:extLst>
                <c:ext xmlns:c15="http://schemas.microsoft.com/office/drawing/2012/chart" uri="{CE6537A1-D6FC-4f65-9D91-7224C49458BB}"/>
                <c:ext xmlns:c16="http://schemas.microsoft.com/office/drawing/2014/chart" uri="{C3380CC4-5D6E-409C-BE32-E72D297353CC}">
                  <c16:uniqueId val="{00000009-7D48-4199-A3F5-09E1E2103E1B}"/>
                </c:ext>
              </c:extLst>
            </c:dLbl>
            <c:numFmt formatCode="#,##0\ &quot;€&quot;" sourceLinked="0"/>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1" i="0" u="none" strike="noStrike" kern="1200" baseline="0">
                    <a:solidFill>
                      <a:schemeClr val="tx1"/>
                    </a:solidFill>
                    <a:latin typeface="Bierstadt" panose="020B0004020202020204" pitchFamily="34" charset="0"/>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Bank!$I$22:$J$22</c:f>
              <c:strCache>
                <c:ptCount val="2"/>
                <c:pt idx="0">
                  <c:v>Einnahmen</c:v>
                </c:pt>
                <c:pt idx="1">
                  <c:v>Ausgaben</c:v>
                </c:pt>
              </c:strCache>
            </c:strRef>
          </c:cat>
          <c:val>
            <c:numRef>
              <c:f>Bank!$I$25:$J$25</c:f>
              <c:numCache>
                <c:formatCode>"€"#,##0.00_);[Red]\("€"#,##0.00\)</c:formatCode>
                <c:ptCount val="2"/>
                <c:pt idx="0">
                  <c:v>0</c:v>
                </c:pt>
                <c:pt idx="1">
                  <c:v>479.09244293439201</c:v>
                </c:pt>
              </c:numCache>
            </c:numRef>
          </c:val>
          <c:extLst>
            <c:ext xmlns:c16="http://schemas.microsoft.com/office/drawing/2014/chart" uri="{C3380CC4-5D6E-409C-BE32-E72D297353CC}">
              <c16:uniqueId val="{00000002-1E3E-4150-A874-A1721DBFBD91}"/>
            </c:ext>
          </c:extLst>
        </c:ser>
        <c:dLbls>
          <c:showLegendKey val="0"/>
          <c:showVal val="0"/>
          <c:showCatName val="0"/>
          <c:showSerName val="0"/>
          <c:showPercent val="0"/>
          <c:showBubbleSize val="0"/>
        </c:dLbls>
        <c:gapWidth val="150"/>
        <c:overlap val="100"/>
        <c:axId val="243503104"/>
        <c:axId val="243504640"/>
      </c:barChart>
      <c:catAx>
        <c:axId val="243503104"/>
        <c:scaling>
          <c:orientation val="minMax"/>
        </c:scaling>
        <c:delete val="0"/>
        <c:axPos val="b"/>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Bierstadt" panose="020B0004020202020204" pitchFamily="34" charset="0"/>
                <a:ea typeface="+mn-ea"/>
                <a:cs typeface="+mn-cs"/>
              </a:defRPr>
            </a:pPr>
            <a:endParaRPr lang="de-DE"/>
          </a:p>
        </c:txPr>
        <c:crossAx val="243504640"/>
        <c:crosses val="autoZero"/>
        <c:auto val="1"/>
        <c:lblAlgn val="ctr"/>
        <c:lblOffset val="100"/>
        <c:noMultiLvlLbl val="0"/>
      </c:catAx>
      <c:valAx>
        <c:axId val="24350464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Bierstadt" panose="020B0004020202020204" pitchFamily="34" charset="0"/>
                <a:ea typeface="+mn-ea"/>
                <a:cs typeface="+mn-cs"/>
              </a:defRPr>
            </a:pPr>
            <a:endParaRPr lang="de-DE"/>
          </a:p>
        </c:txPr>
        <c:crossAx val="2435031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8740157499999996" l="0.70000000000000018" r="0.70000000000000018" t="0.78740157499999996"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57150</xdr:colOff>
      <xdr:row>18</xdr:row>
      <xdr:rowOff>47624</xdr:rowOff>
    </xdr:from>
    <xdr:to>
      <xdr:col>5</xdr:col>
      <xdr:colOff>1264768</xdr:colOff>
      <xdr:row>32</xdr:row>
      <xdr:rowOff>44624</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1571625</xdr:colOff>
      <xdr:row>18</xdr:row>
      <xdr:rowOff>47624</xdr:rowOff>
    </xdr:from>
    <xdr:to>
      <xdr:col>10</xdr:col>
      <xdr:colOff>114300</xdr:colOff>
      <xdr:row>32</xdr:row>
      <xdr:rowOff>80624</xdr:rowOff>
    </xdr:to>
    <xdr:graphicFrame macro="">
      <xdr:nvGraphicFramePr>
        <xdr:cNvPr id="10" name="Diagramm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10964/Desktop/USEFULL/PRIVAT/EXCEL-SHEETs/Finanzen_V4.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10964/Desktop/PERFORMANCE_TRACKER_2019_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G"/>
      <sheetName val="Financial-Statement"/>
      <sheetName val="KTM"/>
      <sheetName val="GIRO_NR"/>
      <sheetName val="Vorschau"/>
      <sheetName val="Zinsen"/>
      <sheetName val="GIRO_SLS"/>
      <sheetName val="Auto"/>
      <sheetName val="Übersicht BANK"/>
      <sheetName val="RoughCalc"/>
      <sheetName val="IMMOBILIEN"/>
      <sheetName val="DETAIL"/>
      <sheetName val="###KV_SLS.98k###"/>
      <sheetName val="###KV_UEB.95k###"/>
      <sheetName val="Besichtigung"/>
      <sheetName val="VbE"/>
      <sheetName val="KV"/>
      <sheetName val="Trennung"/>
      <sheetName val="Evo"/>
      <sheetName val="LeasingKm"/>
      <sheetName val="Zähler Glacis"/>
    </sheetNames>
    <sheetDataSet>
      <sheetData sheetId="0" refreshError="1"/>
      <sheetData sheetId="1" refreshError="1"/>
      <sheetData sheetId="2" refreshError="1"/>
      <sheetData sheetId="3">
        <row r="54">
          <cell r="D54">
            <v>-472</v>
          </cell>
        </row>
        <row r="55">
          <cell r="D55">
            <v>-453</v>
          </cell>
        </row>
        <row r="56">
          <cell r="D56">
            <v>-400</v>
          </cell>
        </row>
        <row r="57">
          <cell r="D57">
            <v>-780</v>
          </cell>
        </row>
        <row r="58">
          <cell r="D58">
            <v>-80</v>
          </cell>
        </row>
        <row r="59">
          <cell r="D59">
            <v>-11</v>
          </cell>
        </row>
        <row r="60">
          <cell r="D60">
            <v>-10</v>
          </cell>
        </row>
        <row r="61">
          <cell r="D61">
            <v>-515</v>
          </cell>
        </row>
        <row r="62">
          <cell r="D62">
            <v>-22</v>
          </cell>
        </row>
        <row r="63">
          <cell r="D63">
            <v>-180</v>
          </cell>
        </row>
        <row r="64">
          <cell r="D64">
            <v>-220</v>
          </cell>
        </row>
        <row r="65">
          <cell r="D65">
            <v>-100</v>
          </cell>
        </row>
        <row r="66">
          <cell r="D66">
            <v>-100</v>
          </cell>
        </row>
        <row r="67">
          <cell r="D67">
            <v>-60</v>
          </cell>
        </row>
        <row r="68">
          <cell r="D68">
            <v>-45</v>
          </cell>
        </row>
        <row r="69">
          <cell r="D69">
            <v>-20</v>
          </cell>
        </row>
        <row r="70">
          <cell r="D70">
            <v>0</v>
          </cell>
        </row>
        <row r="71">
          <cell r="D71">
            <v>-192</v>
          </cell>
        </row>
        <row r="72">
          <cell r="D72">
            <v>0</v>
          </cell>
        </row>
        <row r="73">
          <cell r="D73">
            <v>0</v>
          </cell>
        </row>
        <row r="74">
          <cell r="D74">
            <v>0</v>
          </cell>
        </row>
        <row r="75">
          <cell r="D75">
            <v>0</v>
          </cell>
        </row>
        <row r="76">
          <cell r="D76">
            <v>-6</v>
          </cell>
        </row>
        <row r="77">
          <cell r="D77">
            <v>-20</v>
          </cell>
        </row>
        <row r="78">
          <cell r="D78">
            <v>-35</v>
          </cell>
        </row>
        <row r="79">
          <cell r="D79">
            <v>0</v>
          </cell>
        </row>
        <row r="80">
          <cell r="D80">
            <v>-12</v>
          </cell>
        </row>
        <row r="81">
          <cell r="D81">
            <v>-10</v>
          </cell>
        </row>
        <row r="82">
          <cell r="D82">
            <v>0</v>
          </cell>
        </row>
        <row r="83">
          <cell r="D83">
            <v>0</v>
          </cell>
        </row>
        <row r="84">
          <cell r="D84">
            <v>0</v>
          </cell>
        </row>
        <row r="85">
          <cell r="D85">
            <v>-1500</v>
          </cell>
        </row>
        <row r="86">
          <cell r="G86">
            <v>4170</v>
          </cell>
        </row>
        <row r="87">
          <cell r="G87">
            <v>0</v>
          </cell>
        </row>
        <row r="88">
          <cell r="G88">
            <v>500</v>
          </cell>
        </row>
        <row r="89">
          <cell r="G89">
            <v>526</v>
          </cell>
        </row>
        <row r="90">
          <cell r="G90">
            <v>45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_Arbeitstage"/>
      <sheetName val="DATEN_Orderbook"/>
      <sheetName val="DATEN_WA-VPP"/>
      <sheetName val="DATEN_LTMR"/>
      <sheetName val="STUTE_Sheet"/>
      <sheetName val="STUTE_Chart_INTERNAL"/>
      <sheetName val="OP_Vergleich"/>
      <sheetName val="_Umsatz_exUeb"/>
      <sheetName val="HC-Planung"/>
      <sheetName val="_Check"/>
      <sheetName val="ZF_Definiton"/>
      <sheetName val="ZF_Übersicht"/>
      <sheetName val="ZF_Offene"/>
      <sheetName val="ZF_Chart"/>
    </sheetNames>
    <sheetDataSet>
      <sheetData sheetId="0">
        <row r="4">
          <cell r="B4">
            <v>43466</v>
          </cell>
          <cell r="C4" t="str">
            <v>Neujahr</v>
          </cell>
        </row>
        <row r="5">
          <cell r="B5">
            <v>43574</v>
          </cell>
          <cell r="C5" t="str">
            <v>Karfreitag</v>
          </cell>
        </row>
        <row r="6">
          <cell r="B6">
            <v>43577</v>
          </cell>
          <cell r="C6" t="str">
            <v>Ostermontag</v>
          </cell>
        </row>
        <row r="7">
          <cell r="B7">
            <v>43586</v>
          </cell>
          <cell r="C7" t="str">
            <v>Tag der Arbeit</v>
          </cell>
        </row>
        <row r="8">
          <cell r="B8">
            <v>43615</v>
          </cell>
          <cell r="C8" t="str">
            <v>Christi Himmelfahrt</v>
          </cell>
        </row>
        <row r="9">
          <cell r="B9">
            <v>43626</v>
          </cell>
          <cell r="C9" t="str">
            <v>Pfingstmontag</v>
          </cell>
        </row>
        <row r="10">
          <cell r="B10">
            <v>43636</v>
          </cell>
          <cell r="C10" t="str">
            <v>Fronleichnam</v>
          </cell>
        </row>
        <row r="11">
          <cell r="B11">
            <v>43692</v>
          </cell>
          <cell r="C11" t="str">
            <v>Mariä Himmelfahrt </v>
          </cell>
        </row>
        <row r="12">
          <cell r="B12">
            <v>43741</v>
          </cell>
          <cell r="C12" t="str">
            <v>Tag der Deutschen Einheit</v>
          </cell>
        </row>
        <row r="13">
          <cell r="B13">
            <v>43770</v>
          </cell>
          <cell r="C13" t="str">
            <v>Allerheiligen</v>
          </cell>
        </row>
        <row r="14">
          <cell r="B14">
            <v>43824</v>
          </cell>
          <cell r="C14" t="str">
            <v>1. Weihnachtstag</v>
          </cell>
        </row>
        <row r="15">
          <cell r="B15">
            <v>43825</v>
          </cell>
          <cell r="C15" t="str">
            <v>2. Weihnachtstag</v>
          </cell>
        </row>
        <row r="16">
          <cell r="C16" t="str">
            <v>ARBEITSFREI</v>
          </cell>
        </row>
        <row r="17">
          <cell r="C17" t="str">
            <v>ARBEITSFREI</v>
          </cell>
        </row>
        <row r="18">
          <cell r="C18" t="str">
            <v>ARBEITSFREI</v>
          </cell>
        </row>
        <row r="19">
          <cell r="C19" t="str">
            <v>ARBEITSFREI</v>
          </cell>
        </row>
        <row r="20">
          <cell r="C20" t="str">
            <v>ARBEITSFREI</v>
          </cell>
        </row>
        <row r="21">
          <cell r="C21" t="str">
            <v>ARBEITSFREI</v>
          </cell>
        </row>
        <row r="22">
          <cell r="C22" t="str">
            <v>ARBEITSFREI</v>
          </cell>
        </row>
        <row r="23">
          <cell r="C23" t="str">
            <v>ARBEITSFREI</v>
          </cell>
        </row>
        <row r="24">
          <cell r="C24" t="str">
            <v>ARBEITSFREI</v>
          </cell>
        </row>
        <row r="25">
          <cell r="C25" t="str">
            <v>ARBEITSFREI</v>
          </cell>
        </row>
        <row r="26">
          <cell r="C26" t="str">
            <v>ARBEITSFREI</v>
          </cell>
        </row>
        <row r="27">
          <cell r="C27" t="str">
            <v>ARBEITSFREI</v>
          </cell>
        </row>
      </sheetData>
      <sheetData sheetId="1"/>
      <sheetData sheetId="2"/>
      <sheetData sheetId="3"/>
      <sheetData sheetId="4">
        <row r="10">
          <cell r="A10">
            <v>43466</v>
          </cell>
          <cell r="B10" t="str">
            <v>Kw 01</v>
          </cell>
          <cell r="C10">
            <v>1</v>
          </cell>
          <cell r="D10">
            <v>2</v>
          </cell>
          <cell r="E10" t="str">
            <v>Neujahr</v>
          </cell>
          <cell r="L10">
            <v>8017.28</v>
          </cell>
          <cell r="U10">
            <v>10033.20451908187</v>
          </cell>
        </row>
        <row r="11">
          <cell r="A11">
            <v>43467</v>
          </cell>
          <cell r="B11" t="str">
            <v>Kw 01</v>
          </cell>
          <cell r="C11">
            <v>1</v>
          </cell>
          <cell r="D11">
            <v>3</v>
          </cell>
          <cell r="E11" t="str">
            <v>-</v>
          </cell>
          <cell r="L11">
            <v>12527</v>
          </cell>
          <cell r="U11">
            <v>10033.20451908187</v>
          </cell>
        </row>
        <row r="12">
          <cell r="A12">
            <v>43468</v>
          </cell>
          <cell r="B12" t="str">
            <v>Kw 01</v>
          </cell>
          <cell r="C12">
            <v>1</v>
          </cell>
          <cell r="D12">
            <v>4</v>
          </cell>
          <cell r="E12" t="str">
            <v>-</v>
          </cell>
          <cell r="L12">
            <v>12527</v>
          </cell>
          <cell r="U12">
            <v>10033.20451908187</v>
          </cell>
        </row>
        <row r="13">
          <cell r="A13">
            <v>43469</v>
          </cell>
          <cell r="B13" t="str">
            <v>Kw 01</v>
          </cell>
          <cell r="C13">
            <v>1</v>
          </cell>
          <cell r="D13">
            <v>5</v>
          </cell>
          <cell r="E13" t="str">
            <v>-</v>
          </cell>
          <cell r="L13">
            <v>12527</v>
          </cell>
          <cell r="U13">
            <v>10033.20451908187</v>
          </cell>
        </row>
        <row r="14">
          <cell r="A14">
            <v>43470</v>
          </cell>
          <cell r="B14" t="str">
            <v>Kw 01</v>
          </cell>
          <cell r="C14">
            <v>1</v>
          </cell>
          <cell r="D14">
            <v>6</v>
          </cell>
          <cell r="E14" t="str">
            <v>-</v>
          </cell>
          <cell r="L14">
            <v>8017.28</v>
          </cell>
          <cell r="U14">
            <v>0</v>
          </cell>
        </row>
        <row r="15">
          <cell r="A15">
            <v>43471</v>
          </cell>
          <cell r="B15" t="str">
            <v>Kw 01</v>
          </cell>
          <cell r="C15">
            <v>1</v>
          </cell>
          <cell r="D15">
            <v>7</v>
          </cell>
          <cell r="E15" t="str">
            <v>-</v>
          </cell>
          <cell r="L15">
            <v>6012.96</v>
          </cell>
          <cell r="U15">
            <v>0</v>
          </cell>
        </row>
        <row r="16">
          <cell r="A16">
            <v>43472</v>
          </cell>
          <cell r="B16" t="str">
            <v>Kw 02</v>
          </cell>
          <cell r="C16">
            <v>1</v>
          </cell>
          <cell r="D16">
            <v>1</v>
          </cell>
          <cell r="E16" t="str">
            <v>-</v>
          </cell>
          <cell r="L16">
            <v>10021.6</v>
          </cell>
          <cell r="U16">
            <v>8410.186140995098</v>
          </cell>
        </row>
        <row r="17">
          <cell r="A17">
            <v>43473</v>
          </cell>
          <cell r="B17" t="str">
            <v>Kw 02</v>
          </cell>
          <cell r="C17">
            <v>1</v>
          </cell>
          <cell r="D17">
            <v>2</v>
          </cell>
          <cell r="E17" t="str">
            <v>-</v>
          </cell>
          <cell r="L17">
            <v>12527</v>
          </cell>
          <cell r="U17">
            <v>10033.20451908187</v>
          </cell>
        </row>
        <row r="18">
          <cell r="A18">
            <v>43474</v>
          </cell>
          <cell r="B18" t="str">
            <v>Kw 02</v>
          </cell>
          <cell r="C18">
            <v>1</v>
          </cell>
          <cell r="D18">
            <v>3</v>
          </cell>
          <cell r="E18" t="str">
            <v>-</v>
          </cell>
          <cell r="L18">
            <v>12527</v>
          </cell>
          <cell r="U18">
            <v>10033.20451908187</v>
          </cell>
        </row>
        <row r="19">
          <cell r="A19">
            <v>43475</v>
          </cell>
          <cell r="B19" t="str">
            <v>Kw 02</v>
          </cell>
          <cell r="C19">
            <v>1</v>
          </cell>
          <cell r="D19">
            <v>4</v>
          </cell>
          <cell r="E19" t="str">
            <v>-</v>
          </cell>
          <cell r="L19">
            <v>12527</v>
          </cell>
          <cell r="U19">
            <v>10033.20451908187</v>
          </cell>
        </row>
        <row r="20">
          <cell r="A20">
            <v>43476</v>
          </cell>
          <cell r="B20" t="str">
            <v>Kw 02</v>
          </cell>
          <cell r="C20">
            <v>1</v>
          </cell>
          <cell r="D20">
            <v>5</v>
          </cell>
          <cell r="E20" t="str">
            <v>-</v>
          </cell>
          <cell r="L20">
            <v>12527</v>
          </cell>
          <cell r="U20">
            <v>10033.20451908187</v>
          </cell>
        </row>
        <row r="21">
          <cell r="A21">
            <v>43477</v>
          </cell>
          <cell r="B21" t="str">
            <v>Kw 02</v>
          </cell>
          <cell r="C21">
            <v>1</v>
          </cell>
          <cell r="D21">
            <v>6</v>
          </cell>
          <cell r="E21" t="str">
            <v>-</v>
          </cell>
          <cell r="L21">
            <v>8017.28</v>
          </cell>
          <cell r="U21">
            <v>0</v>
          </cell>
        </row>
        <row r="22">
          <cell r="A22">
            <v>43478</v>
          </cell>
          <cell r="B22" t="str">
            <v>Kw 02</v>
          </cell>
          <cell r="C22">
            <v>1</v>
          </cell>
          <cell r="D22">
            <v>7</v>
          </cell>
          <cell r="E22" t="str">
            <v>-</v>
          </cell>
          <cell r="L22">
            <v>6012.96</v>
          </cell>
          <cell r="U22">
            <v>0</v>
          </cell>
        </row>
        <row r="23">
          <cell r="A23">
            <v>43479</v>
          </cell>
          <cell r="B23" t="str">
            <v>Kw 03</v>
          </cell>
          <cell r="C23">
            <v>1</v>
          </cell>
          <cell r="D23">
            <v>1</v>
          </cell>
          <cell r="E23" t="str">
            <v>-</v>
          </cell>
          <cell r="L23">
            <v>10021.6</v>
          </cell>
          <cell r="U23">
            <v>8410.186140995098</v>
          </cell>
        </row>
        <row r="24">
          <cell r="A24">
            <v>43480</v>
          </cell>
          <cell r="B24" t="str">
            <v>Kw 03</v>
          </cell>
          <cell r="C24">
            <v>1</v>
          </cell>
          <cell r="D24">
            <v>2</v>
          </cell>
          <cell r="E24" t="str">
            <v>-</v>
          </cell>
          <cell r="L24">
            <v>12527</v>
          </cell>
          <cell r="U24">
            <v>10033.20451908187</v>
          </cell>
        </row>
        <row r="25">
          <cell r="A25">
            <v>43481</v>
          </cell>
          <cell r="B25" t="str">
            <v>Kw 03</v>
          </cell>
          <cell r="C25">
            <v>1</v>
          </cell>
          <cell r="D25">
            <v>3</v>
          </cell>
          <cell r="E25" t="str">
            <v>-</v>
          </cell>
          <cell r="L25">
            <v>12527</v>
          </cell>
          <cell r="U25">
            <v>10033.20451908187</v>
          </cell>
        </row>
        <row r="26">
          <cell r="A26">
            <v>43482</v>
          </cell>
          <cell r="B26" t="str">
            <v>Kw 03</v>
          </cell>
          <cell r="C26">
            <v>1</v>
          </cell>
          <cell r="D26">
            <v>4</v>
          </cell>
          <cell r="E26" t="str">
            <v>-</v>
          </cell>
          <cell r="L26">
            <v>12527</v>
          </cell>
          <cell r="U26">
            <v>10033.20451908187</v>
          </cell>
        </row>
        <row r="27">
          <cell r="A27">
            <v>43483</v>
          </cell>
          <cell r="B27" t="str">
            <v>Kw 03</v>
          </cell>
          <cell r="C27">
            <v>1</v>
          </cell>
          <cell r="D27">
            <v>5</v>
          </cell>
          <cell r="E27" t="str">
            <v>-</v>
          </cell>
          <cell r="L27">
            <v>12527</v>
          </cell>
          <cell r="U27">
            <v>10033.20451908187</v>
          </cell>
        </row>
        <row r="28">
          <cell r="A28">
            <v>43484</v>
          </cell>
          <cell r="B28" t="str">
            <v>Kw 03</v>
          </cell>
          <cell r="C28">
            <v>1</v>
          </cell>
          <cell r="D28">
            <v>6</v>
          </cell>
          <cell r="E28" t="str">
            <v>-</v>
          </cell>
          <cell r="L28">
            <v>8017.28</v>
          </cell>
          <cell r="U28">
            <v>0</v>
          </cell>
        </row>
        <row r="29">
          <cell r="A29">
            <v>43485</v>
          </cell>
          <cell r="B29" t="str">
            <v>Kw 03</v>
          </cell>
          <cell r="C29">
            <v>1</v>
          </cell>
          <cell r="D29">
            <v>7</v>
          </cell>
          <cell r="E29" t="str">
            <v>-</v>
          </cell>
          <cell r="L29">
            <v>6012.96</v>
          </cell>
          <cell r="U29">
            <v>0</v>
          </cell>
        </row>
        <row r="30">
          <cell r="A30">
            <v>43486</v>
          </cell>
          <cell r="B30" t="str">
            <v>Kw 04</v>
          </cell>
          <cell r="C30">
            <v>1</v>
          </cell>
          <cell r="D30">
            <v>1</v>
          </cell>
          <cell r="E30" t="str">
            <v>-</v>
          </cell>
          <cell r="L30">
            <v>10021.6</v>
          </cell>
          <cell r="U30">
            <v>8410.186140995098</v>
          </cell>
        </row>
        <row r="31">
          <cell r="A31">
            <v>43487</v>
          </cell>
          <cell r="B31" t="str">
            <v>Kw 04</v>
          </cell>
          <cell r="C31">
            <v>1</v>
          </cell>
          <cell r="D31">
            <v>2</v>
          </cell>
          <cell r="E31" t="str">
            <v>-</v>
          </cell>
          <cell r="L31">
            <v>12527</v>
          </cell>
          <cell r="U31">
            <v>10033.20451908187</v>
          </cell>
        </row>
        <row r="32">
          <cell r="A32">
            <v>43488</v>
          </cell>
          <cell r="B32" t="str">
            <v>Kw 04</v>
          </cell>
          <cell r="C32">
            <v>1</v>
          </cell>
          <cell r="D32">
            <v>3</v>
          </cell>
          <cell r="E32" t="str">
            <v>-</v>
          </cell>
          <cell r="L32">
            <v>12527</v>
          </cell>
          <cell r="U32">
            <v>10033.20451908187</v>
          </cell>
        </row>
        <row r="33">
          <cell r="A33">
            <v>43489</v>
          </cell>
          <cell r="B33" t="str">
            <v>Kw 04</v>
          </cell>
          <cell r="C33">
            <v>1</v>
          </cell>
          <cell r="D33">
            <v>4</v>
          </cell>
          <cell r="E33" t="str">
            <v>-</v>
          </cell>
          <cell r="L33">
            <v>12527</v>
          </cell>
          <cell r="U33">
            <v>10033.20451908187</v>
          </cell>
        </row>
        <row r="34">
          <cell r="A34">
            <v>43490</v>
          </cell>
          <cell r="B34" t="str">
            <v>Kw 04</v>
          </cell>
          <cell r="C34">
            <v>1</v>
          </cell>
          <cell r="D34">
            <v>5</v>
          </cell>
          <cell r="E34" t="str">
            <v>-</v>
          </cell>
          <cell r="L34">
            <v>12527</v>
          </cell>
          <cell r="U34">
            <v>10033.20451908187</v>
          </cell>
        </row>
        <row r="35">
          <cell r="A35">
            <v>43491</v>
          </cell>
          <cell r="B35" t="str">
            <v>Kw 04</v>
          </cell>
          <cell r="C35">
            <v>1</v>
          </cell>
          <cell r="D35">
            <v>6</v>
          </cell>
          <cell r="E35" t="str">
            <v>-</v>
          </cell>
          <cell r="L35">
            <v>8017.28</v>
          </cell>
          <cell r="U35">
            <v>0</v>
          </cell>
        </row>
        <row r="36">
          <cell r="A36">
            <v>43492</v>
          </cell>
          <cell r="B36" t="str">
            <v>Kw 04</v>
          </cell>
          <cell r="C36">
            <v>1</v>
          </cell>
          <cell r="D36">
            <v>7</v>
          </cell>
          <cell r="E36" t="str">
            <v>-</v>
          </cell>
          <cell r="L36">
            <v>6012.96</v>
          </cell>
          <cell r="U36">
            <v>0</v>
          </cell>
        </row>
        <row r="37">
          <cell r="A37">
            <v>43493</v>
          </cell>
          <cell r="B37" t="str">
            <v>Kw 05</v>
          </cell>
          <cell r="C37">
            <v>1</v>
          </cell>
          <cell r="D37">
            <v>1</v>
          </cell>
          <cell r="E37" t="str">
            <v>-</v>
          </cell>
          <cell r="L37">
            <v>10021.6</v>
          </cell>
          <cell r="U37">
            <v>8410.186140995098</v>
          </cell>
        </row>
        <row r="38">
          <cell r="A38">
            <v>43494</v>
          </cell>
          <cell r="B38" t="str">
            <v>Kw 05</v>
          </cell>
          <cell r="C38">
            <v>1</v>
          </cell>
          <cell r="D38">
            <v>2</v>
          </cell>
          <cell r="E38" t="str">
            <v>-</v>
          </cell>
          <cell r="L38">
            <v>12527</v>
          </cell>
          <cell r="U38">
            <v>10033.20451908187</v>
          </cell>
        </row>
        <row r="39">
          <cell r="A39">
            <v>43495</v>
          </cell>
          <cell r="B39" t="str">
            <v>Kw 05</v>
          </cell>
          <cell r="C39">
            <v>1</v>
          </cell>
          <cell r="D39">
            <v>3</v>
          </cell>
          <cell r="E39" t="str">
            <v>-</v>
          </cell>
          <cell r="L39">
            <v>12527</v>
          </cell>
          <cell r="U39">
            <v>10033.20451908187</v>
          </cell>
        </row>
        <row r="40">
          <cell r="A40">
            <v>43496</v>
          </cell>
          <cell r="B40" t="str">
            <v>Kw 05</v>
          </cell>
          <cell r="C40">
            <v>1</v>
          </cell>
          <cell r="D40">
            <v>4</v>
          </cell>
          <cell r="E40" t="str">
            <v>-</v>
          </cell>
          <cell r="L40">
            <v>12527</v>
          </cell>
          <cell r="U40">
            <v>10033.20451908187</v>
          </cell>
        </row>
        <row r="41">
          <cell r="A41">
            <v>43497</v>
          </cell>
          <cell r="B41" t="str">
            <v>Kw 05</v>
          </cell>
          <cell r="C41">
            <v>2</v>
          </cell>
          <cell r="D41">
            <v>5</v>
          </cell>
          <cell r="E41" t="str">
            <v>-</v>
          </cell>
          <cell r="L41">
            <v>12527</v>
          </cell>
          <cell r="U41">
            <v>12715.597420981565</v>
          </cell>
        </row>
        <row r="42">
          <cell r="A42">
            <v>43498</v>
          </cell>
          <cell r="B42" t="str">
            <v>Kw 05</v>
          </cell>
          <cell r="C42">
            <v>2</v>
          </cell>
          <cell r="D42">
            <v>6</v>
          </cell>
          <cell r="E42" t="str">
            <v>-</v>
          </cell>
          <cell r="L42">
            <v>8017.28</v>
          </cell>
          <cell r="U42">
            <v>0</v>
          </cell>
        </row>
        <row r="43">
          <cell r="A43">
            <v>43499</v>
          </cell>
          <cell r="B43" t="str">
            <v>Kw 05</v>
          </cell>
          <cell r="C43">
            <v>2</v>
          </cell>
          <cell r="D43">
            <v>7</v>
          </cell>
          <cell r="E43" t="str">
            <v>-</v>
          </cell>
          <cell r="L43">
            <v>6012.96</v>
          </cell>
          <cell r="U43">
            <v>0</v>
          </cell>
        </row>
        <row r="44">
          <cell r="A44">
            <v>43500</v>
          </cell>
          <cell r="B44" t="str">
            <v>Kw 06</v>
          </cell>
          <cell r="C44">
            <v>2</v>
          </cell>
          <cell r="D44">
            <v>1</v>
          </cell>
          <cell r="E44" t="str">
            <v>-</v>
          </cell>
          <cell r="L44">
            <v>10021.6</v>
          </cell>
          <cell r="U44">
            <v>8975.7158265752241</v>
          </cell>
        </row>
        <row r="45">
          <cell r="A45">
            <v>43501</v>
          </cell>
          <cell r="B45" t="str">
            <v>Kw 06</v>
          </cell>
          <cell r="C45">
            <v>2</v>
          </cell>
          <cell r="D45">
            <v>2</v>
          </cell>
          <cell r="E45" t="str">
            <v>-</v>
          </cell>
          <cell r="L45">
            <v>12527</v>
          </cell>
          <cell r="U45">
            <v>12715.597420981565</v>
          </cell>
        </row>
        <row r="46">
          <cell r="A46">
            <v>43502</v>
          </cell>
          <cell r="B46" t="str">
            <v>Kw 06</v>
          </cell>
          <cell r="C46">
            <v>2</v>
          </cell>
          <cell r="D46">
            <v>3</v>
          </cell>
          <cell r="E46" t="str">
            <v>-</v>
          </cell>
          <cell r="L46">
            <v>12527</v>
          </cell>
          <cell r="U46">
            <v>12715.597420981565</v>
          </cell>
        </row>
        <row r="47">
          <cell r="A47">
            <v>43503</v>
          </cell>
          <cell r="B47" t="str">
            <v>Kw 06</v>
          </cell>
          <cell r="C47">
            <v>2</v>
          </cell>
          <cell r="D47">
            <v>4</v>
          </cell>
          <cell r="E47" t="str">
            <v>-</v>
          </cell>
          <cell r="L47">
            <v>12527</v>
          </cell>
          <cell r="U47">
            <v>12715.597420981565</v>
          </cell>
        </row>
        <row r="48">
          <cell r="A48">
            <v>43504</v>
          </cell>
          <cell r="B48" t="str">
            <v>Kw 06</v>
          </cell>
          <cell r="C48">
            <v>2</v>
          </cell>
          <cell r="D48">
            <v>5</v>
          </cell>
          <cell r="E48" t="str">
            <v>-</v>
          </cell>
          <cell r="L48">
            <v>12527</v>
          </cell>
          <cell r="U48">
            <v>12715.597420981565</v>
          </cell>
        </row>
        <row r="49">
          <cell r="A49">
            <v>43505</v>
          </cell>
          <cell r="B49" t="str">
            <v>Kw 06</v>
          </cell>
          <cell r="C49">
            <v>2</v>
          </cell>
          <cell r="D49">
            <v>6</v>
          </cell>
          <cell r="E49" t="str">
            <v>-</v>
          </cell>
          <cell r="L49">
            <v>8017.28</v>
          </cell>
          <cell r="U49">
            <v>0</v>
          </cell>
        </row>
        <row r="50">
          <cell r="A50">
            <v>43506</v>
          </cell>
          <cell r="B50" t="str">
            <v>Kw 06</v>
          </cell>
          <cell r="C50">
            <v>2</v>
          </cell>
          <cell r="D50">
            <v>7</v>
          </cell>
          <cell r="E50" t="str">
            <v>-</v>
          </cell>
          <cell r="L50">
            <v>6012.96</v>
          </cell>
          <cell r="U50">
            <v>0</v>
          </cell>
        </row>
        <row r="51">
          <cell r="A51">
            <v>43507</v>
          </cell>
          <cell r="B51" t="str">
            <v>Kw 07</v>
          </cell>
          <cell r="C51">
            <v>2</v>
          </cell>
          <cell r="D51">
            <v>1</v>
          </cell>
          <cell r="E51" t="str">
            <v>-</v>
          </cell>
          <cell r="L51">
            <v>10021.6</v>
          </cell>
          <cell r="U51">
            <v>8975.7158265752241</v>
          </cell>
        </row>
        <row r="52">
          <cell r="A52">
            <v>43508</v>
          </cell>
          <cell r="B52" t="str">
            <v>Kw 07</v>
          </cell>
          <cell r="C52">
            <v>2</v>
          </cell>
          <cell r="D52">
            <v>2</v>
          </cell>
          <cell r="E52" t="str">
            <v>-</v>
          </cell>
          <cell r="L52">
            <v>12527</v>
          </cell>
          <cell r="U52">
            <v>12715.597420981565</v>
          </cell>
        </row>
        <row r="53">
          <cell r="A53">
            <v>43509</v>
          </cell>
          <cell r="B53" t="str">
            <v>Kw 07</v>
          </cell>
          <cell r="C53">
            <v>2</v>
          </cell>
          <cell r="D53">
            <v>3</v>
          </cell>
          <cell r="E53" t="str">
            <v>-</v>
          </cell>
          <cell r="L53">
            <v>12527</v>
          </cell>
          <cell r="U53">
            <v>12715.597420981565</v>
          </cell>
        </row>
        <row r="54">
          <cell r="A54">
            <v>43510</v>
          </cell>
          <cell r="B54" t="str">
            <v>Kw 07</v>
          </cell>
          <cell r="C54">
            <v>2</v>
          </cell>
          <cell r="D54">
            <v>4</v>
          </cell>
          <cell r="E54" t="str">
            <v>-</v>
          </cell>
          <cell r="L54">
            <v>12527</v>
          </cell>
          <cell r="U54">
            <v>12715.597420981565</v>
          </cell>
        </row>
        <row r="55">
          <cell r="A55">
            <v>43511</v>
          </cell>
          <cell r="B55" t="str">
            <v>Kw 07</v>
          </cell>
          <cell r="C55">
            <v>2</v>
          </cell>
          <cell r="D55">
            <v>5</v>
          </cell>
          <cell r="E55" t="str">
            <v>-</v>
          </cell>
          <cell r="L55">
            <v>12527</v>
          </cell>
          <cell r="U55">
            <v>12715.597420981565</v>
          </cell>
        </row>
        <row r="56">
          <cell r="A56">
            <v>43512</v>
          </cell>
          <cell r="B56" t="str">
            <v>Kw 07</v>
          </cell>
          <cell r="C56">
            <v>2</v>
          </cell>
          <cell r="D56">
            <v>6</v>
          </cell>
          <cell r="E56" t="str">
            <v>-</v>
          </cell>
          <cell r="L56">
            <v>8017.28</v>
          </cell>
          <cell r="U56">
            <v>0</v>
          </cell>
        </row>
        <row r="57">
          <cell r="A57">
            <v>43513</v>
          </cell>
          <cell r="B57" t="str">
            <v>Kw 07</v>
          </cell>
          <cell r="C57">
            <v>2</v>
          </cell>
          <cell r="D57">
            <v>7</v>
          </cell>
          <cell r="E57" t="str">
            <v>-</v>
          </cell>
          <cell r="L57">
            <v>6012.96</v>
          </cell>
          <cell r="U57">
            <v>0</v>
          </cell>
        </row>
        <row r="58">
          <cell r="A58">
            <v>43514</v>
          </cell>
          <cell r="B58" t="str">
            <v>Kw 08</v>
          </cell>
          <cell r="C58">
            <v>2</v>
          </cell>
          <cell r="D58">
            <v>1</v>
          </cell>
          <cell r="E58" t="str">
            <v>-</v>
          </cell>
          <cell r="L58">
            <v>10021.6</v>
          </cell>
          <cell r="U58">
            <v>8975.7158265752241</v>
          </cell>
        </row>
        <row r="59">
          <cell r="A59">
            <v>43515</v>
          </cell>
          <cell r="B59" t="str">
            <v>Kw 08</v>
          </cell>
          <cell r="C59">
            <v>2</v>
          </cell>
          <cell r="D59">
            <v>2</v>
          </cell>
          <cell r="E59" t="str">
            <v>-</v>
          </cell>
          <cell r="L59">
            <v>12527</v>
          </cell>
          <cell r="U59">
            <v>12715.597420981565</v>
          </cell>
        </row>
        <row r="60">
          <cell r="A60">
            <v>43516</v>
          </cell>
          <cell r="B60" t="str">
            <v>Kw 08</v>
          </cell>
          <cell r="C60">
            <v>2</v>
          </cell>
          <cell r="D60">
            <v>3</v>
          </cell>
          <cell r="E60" t="str">
            <v>-</v>
          </cell>
          <cell r="L60">
            <v>12527</v>
          </cell>
          <cell r="U60">
            <v>12715.597420981565</v>
          </cell>
        </row>
        <row r="61">
          <cell r="A61">
            <v>43517</v>
          </cell>
          <cell r="B61" t="str">
            <v>Kw 08</v>
          </cell>
          <cell r="C61">
            <v>2</v>
          </cell>
          <cell r="D61">
            <v>4</v>
          </cell>
          <cell r="E61" t="str">
            <v>-</v>
          </cell>
          <cell r="L61">
            <v>12527</v>
          </cell>
          <cell r="U61">
            <v>12715.597420981565</v>
          </cell>
        </row>
        <row r="62">
          <cell r="A62">
            <v>43518</v>
          </cell>
          <cell r="B62" t="str">
            <v>Kw 08</v>
          </cell>
          <cell r="C62">
            <v>2</v>
          </cell>
          <cell r="D62">
            <v>5</v>
          </cell>
          <cell r="E62" t="str">
            <v>-</v>
          </cell>
          <cell r="L62">
            <v>12527</v>
          </cell>
          <cell r="U62">
            <v>12715.597420981565</v>
          </cell>
        </row>
        <row r="63">
          <cell r="A63">
            <v>43519</v>
          </cell>
          <cell r="B63" t="str">
            <v>Kw 08</v>
          </cell>
          <cell r="C63">
            <v>2</v>
          </cell>
          <cell r="D63">
            <v>6</v>
          </cell>
          <cell r="E63" t="str">
            <v>-</v>
          </cell>
          <cell r="L63">
            <v>8017.28</v>
          </cell>
          <cell r="U63">
            <v>0</v>
          </cell>
        </row>
        <row r="64">
          <cell r="A64">
            <v>43520</v>
          </cell>
          <cell r="B64" t="str">
            <v>Kw 08</v>
          </cell>
          <cell r="C64">
            <v>2</v>
          </cell>
          <cell r="D64">
            <v>7</v>
          </cell>
          <cell r="E64" t="str">
            <v>-</v>
          </cell>
          <cell r="L64">
            <v>6012.96</v>
          </cell>
          <cell r="U64">
            <v>0</v>
          </cell>
        </row>
        <row r="65">
          <cell r="A65">
            <v>43521</v>
          </cell>
          <cell r="B65" t="str">
            <v>Kw 09</v>
          </cell>
          <cell r="C65">
            <v>2</v>
          </cell>
          <cell r="D65">
            <v>1</v>
          </cell>
          <cell r="E65" t="str">
            <v>-</v>
          </cell>
          <cell r="L65">
            <v>10021.6</v>
          </cell>
          <cell r="U65">
            <v>8975.7158265752241</v>
          </cell>
        </row>
        <row r="66">
          <cell r="A66">
            <v>43522</v>
          </cell>
          <cell r="B66" t="str">
            <v>Kw 09</v>
          </cell>
          <cell r="C66">
            <v>2</v>
          </cell>
          <cell r="D66">
            <v>2</v>
          </cell>
          <cell r="E66" t="str">
            <v>-</v>
          </cell>
          <cell r="L66">
            <v>12527</v>
          </cell>
          <cell r="U66">
            <v>12715.597420981565</v>
          </cell>
        </row>
        <row r="67">
          <cell r="A67">
            <v>43523</v>
          </cell>
          <cell r="B67" t="str">
            <v>Kw 09</v>
          </cell>
          <cell r="C67">
            <v>2</v>
          </cell>
          <cell r="D67">
            <v>3</v>
          </cell>
          <cell r="E67" t="str">
            <v>-</v>
          </cell>
          <cell r="L67">
            <v>12527</v>
          </cell>
          <cell r="U67">
            <v>12715.597420981565</v>
          </cell>
        </row>
        <row r="68">
          <cell r="A68">
            <v>43524</v>
          </cell>
          <cell r="B68" t="str">
            <v>Kw 09</v>
          </cell>
          <cell r="C68">
            <v>2</v>
          </cell>
          <cell r="D68">
            <v>4</v>
          </cell>
          <cell r="E68" t="str">
            <v>-</v>
          </cell>
          <cell r="L68">
            <v>12527</v>
          </cell>
          <cell r="U68">
            <v>12715.597420981565</v>
          </cell>
        </row>
        <row r="69">
          <cell r="A69">
            <v>43525</v>
          </cell>
          <cell r="B69" t="str">
            <v>Kw 09</v>
          </cell>
          <cell r="C69">
            <v>3</v>
          </cell>
          <cell r="D69">
            <v>5</v>
          </cell>
          <cell r="E69" t="str">
            <v>-</v>
          </cell>
          <cell r="L69">
            <v>12527</v>
          </cell>
          <cell r="U69">
            <v>12917.183775397853</v>
          </cell>
        </row>
        <row r="70">
          <cell r="A70">
            <v>43526</v>
          </cell>
          <cell r="B70" t="str">
            <v>Kw 09</v>
          </cell>
          <cell r="C70">
            <v>3</v>
          </cell>
          <cell r="D70">
            <v>6</v>
          </cell>
          <cell r="E70" t="str">
            <v>-</v>
          </cell>
          <cell r="L70">
            <v>8017.28</v>
          </cell>
          <cell r="U70">
            <v>0</v>
          </cell>
        </row>
        <row r="71">
          <cell r="A71">
            <v>43527</v>
          </cell>
          <cell r="B71" t="str">
            <v>Kw 09</v>
          </cell>
          <cell r="C71">
            <v>3</v>
          </cell>
          <cell r="D71">
            <v>7</v>
          </cell>
          <cell r="E71" t="str">
            <v>-</v>
          </cell>
          <cell r="L71">
            <v>6012.96</v>
          </cell>
          <cell r="U71">
            <v>0</v>
          </cell>
        </row>
        <row r="72">
          <cell r="A72">
            <v>43528</v>
          </cell>
          <cell r="B72" t="str">
            <v>Kw 10</v>
          </cell>
          <cell r="C72">
            <v>3</v>
          </cell>
          <cell r="D72">
            <v>1</v>
          </cell>
          <cell r="E72" t="str">
            <v>-</v>
          </cell>
          <cell r="L72">
            <v>10021.6</v>
          </cell>
          <cell r="U72">
            <v>9687.8878315483907</v>
          </cell>
        </row>
        <row r="73">
          <cell r="A73">
            <v>43529</v>
          </cell>
          <cell r="B73" t="str">
            <v>Kw 10</v>
          </cell>
          <cell r="C73">
            <v>3</v>
          </cell>
          <cell r="D73">
            <v>2</v>
          </cell>
          <cell r="E73" t="str">
            <v>-</v>
          </cell>
          <cell r="L73">
            <v>12527</v>
          </cell>
          <cell r="U73">
            <v>12917.183775397853</v>
          </cell>
        </row>
        <row r="74">
          <cell r="A74">
            <v>43530</v>
          </cell>
          <cell r="B74" t="str">
            <v>Kw 10</v>
          </cell>
          <cell r="C74">
            <v>3</v>
          </cell>
          <cell r="D74">
            <v>3</v>
          </cell>
          <cell r="E74" t="str">
            <v>-</v>
          </cell>
          <cell r="L74">
            <v>12527</v>
          </cell>
          <cell r="U74">
            <v>12917.183775397853</v>
          </cell>
        </row>
        <row r="75">
          <cell r="A75">
            <v>43531</v>
          </cell>
          <cell r="B75" t="str">
            <v>Kw 10</v>
          </cell>
          <cell r="C75">
            <v>3</v>
          </cell>
          <cell r="D75">
            <v>4</v>
          </cell>
          <cell r="E75" t="str">
            <v>-</v>
          </cell>
          <cell r="L75">
            <v>12527</v>
          </cell>
          <cell r="U75">
            <v>12917.183775397853</v>
          </cell>
        </row>
        <row r="76">
          <cell r="A76">
            <v>43532</v>
          </cell>
          <cell r="B76" t="str">
            <v>Kw 10</v>
          </cell>
          <cell r="C76">
            <v>3</v>
          </cell>
          <cell r="D76">
            <v>5</v>
          </cell>
          <cell r="E76" t="str">
            <v>-</v>
          </cell>
          <cell r="L76">
            <v>12527</v>
          </cell>
          <cell r="U76">
            <v>12917.183775397853</v>
          </cell>
        </row>
        <row r="77">
          <cell r="A77">
            <v>43533</v>
          </cell>
          <cell r="B77" t="str">
            <v>Kw 10</v>
          </cell>
          <cell r="C77">
            <v>3</v>
          </cell>
          <cell r="D77">
            <v>6</v>
          </cell>
          <cell r="E77" t="str">
            <v>-</v>
          </cell>
          <cell r="L77">
            <v>8017.28</v>
          </cell>
          <cell r="U77">
            <v>0</v>
          </cell>
        </row>
        <row r="78">
          <cell r="A78">
            <v>43534</v>
          </cell>
          <cell r="B78" t="str">
            <v>Kw 10</v>
          </cell>
          <cell r="C78">
            <v>3</v>
          </cell>
          <cell r="D78">
            <v>7</v>
          </cell>
          <cell r="E78" t="str">
            <v>-</v>
          </cell>
          <cell r="L78">
            <v>6012.96</v>
          </cell>
          <cell r="U78">
            <v>0</v>
          </cell>
        </row>
        <row r="79">
          <cell r="A79">
            <v>43535</v>
          </cell>
          <cell r="B79" t="str">
            <v>Kw 11</v>
          </cell>
          <cell r="C79">
            <v>3</v>
          </cell>
          <cell r="D79">
            <v>1</v>
          </cell>
          <cell r="E79" t="str">
            <v>-</v>
          </cell>
          <cell r="L79">
            <v>10021.6</v>
          </cell>
          <cell r="U79">
            <v>9687.8878315483907</v>
          </cell>
        </row>
        <row r="80">
          <cell r="A80">
            <v>43536</v>
          </cell>
          <cell r="B80" t="str">
            <v>Kw 11</v>
          </cell>
          <cell r="C80">
            <v>3</v>
          </cell>
          <cell r="D80">
            <v>2</v>
          </cell>
          <cell r="E80" t="str">
            <v>-</v>
          </cell>
          <cell r="L80">
            <v>12527</v>
          </cell>
          <cell r="U80">
            <v>12917.183775397853</v>
          </cell>
        </row>
        <row r="81">
          <cell r="A81">
            <v>43537</v>
          </cell>
          <cell r="B81" t="str">
            <v>Kw 11</v>
          </cell>
          <cell r="C81">
            <v>3</v>
          </cell>
          <cell r="D81">
            <v>3</v>
          </cell>
          <cell r="E81" t="str">
            <v>-</v>
          </cell>
          <cell r="L81">
            <v>12527</v>
          </cell>
          <cell r="U81">
            <v>12917.183775397853</v>
          </cell>
        </row>
        <row r="82">
          <cell r="A82">
            <v>43538</v>
          </cell>
          <cell r="B82" t="str">
            <v>Kw 11</v>
          </cell>
          <cell r="C82">
            <v>3</v>
          </cell>
          <cell r="D82">
            <v>4</v>
          </cell>
          <cell r="E82" t="str">
            <v>-</v>
          </cell>
          <cell r="L82">
            <v>12527</v>
          </cell>
          <cell r="U82">
            <v>12917.183775397853</v>
          </cell>
        </row>
        <row r="83">
          <cell r="A83">
            <v>43539</v>
          </cell>
          <cell r="B83" t="str">
            <v>Kw 11</v>
          </cell>
          <cell r="C83">
            <v>3</v>
          </cell>
          <cell r="D83">
            <v>5</v>
          </cell>
          <cell r="E83" t="str">
            <v>-</v>
          </cell>
          <cell r="L83">
            <v>12527</v>
          </cell>
          <cell r="U83">
            <v>12917.183775397853</v>
          </cell>
        </row>
        <row r="84">
          <cell r="A84">
            <v>43540</v>
          </cell>
          <cell r="B84" t="str">
            <v>Kw 11</v>
          </cell>
          <cell r="C84">
            <v>3</v>
          </cell>
          <cell r="D84">
            <v>6</v>
          </cell>
          <cell r="E84" t="str">
            <v>-</v>
          </cell>
          <cell r="L84">
            <v>8017.28</v>
          </cell>
          <cell r="U84">
            <v>0</v>
          </cell>
        </row>
        <row r="85">
          <cell r="A85">
            <v>43541</v>
          </cell>
          <cell r="B85" t="str">
            <v>Kw 11</v>
          </cell>
          <cell r="C85">
            <v>3</v>
          </cell>
          <cell r="D85">
            <v>7</v>
          </cell>
          <cell r="E85" t="str">
            <v>-</v>
          </cell>
          <cell r="L85">
            <v>6012.96</v>
          </cell>
          <cell r="U85">
            <v>0</v>
          </cell>
        </row>
        <row r="86">
          <cell r="A86">
            <v>43542</v>
          </cell>
          <cell r="B86" t="str">
            <v>Kw 12</v>
          </cell>
          <cell r="C86">
            <v>3</v>
          </cell>
          <cell r="D86">
            <v>1</v>
          </cell>
          <cell r="E86" t="str">
            <v>-</v>
          </cell>
          <cell r="L86">
            <v>10021.6</v>
          </cell>
          <cell r="U86">
            <v>9687.8878315483907</v>
          </cell>
        </row>
        <row r="87">
          <cell r="A87">
            <v>43543</v>
          </cell>
          <cell r="B87" t="str">
            <v>Kw 12</v>
          </cell>
          <cell r="C87">
            <v>3</v>
          </cell>
          <cell r="D87">
            <v>2</v>
          </cell>
          <cell r="E87" t="str">
            <v>-</v>
          </cell>
          <cell r="L87">
            <v>12527</v>
          </cell>
          <cell r="U87">
            <v>12917.183775397853</v>
          </cell>
        </row>
        <row r="88">
          <cell r="A88">
            <v>43544</v>
          </cell>
          <cell r="B88" t="str">
            <v>Kw 12</v>
          </cell>
          <cell r="C88">
            <v>3</v>
          </cell>
          <cell r="D88">
            <v>3</v>
          </cell>
          <cell r="E88" t="str">
            <v>-</v>
          </cell>
          <cell r="L88">
            <v>12527</v>
          </cell>
          <cell r="U88">
            <v>12917.183775397853</v>
          </cell>
        </row>
        <row r="89">
          <cell r="A89">
            <v>43545</v>
          </cell>
          <cell r="B89" t="str">
            <v>Kw 12</v>
          </cell>
          <cell r="C89">
            <v>3</v>
          </cell>
          <cell r="D89">
            <v>4</v>
          </cell>
          <cell r="E89" t="str">
            <v>-</v>
          </cell>
          <cell r="L89">
            <v>12527</v>
          </cell>
          <cell r="U89">
            <v>12917.183775397853</v>
          </cell>
        </row>
        <row r="90">
          <cell r="A90">
            <v>43546</v>
          </cell>
          <cell r="B90" t="str">
            <v>Kw 12</v>
          </cell>
          <cell r="C90">
            <v>3</v>
          </cell>
          <cell r="D90">
            <v>5</v>
          </cell>
          <cell r="E90" t="str">
            <v>-</v>
          </cell>
          <cell r="L90">
            <v>12527</v>
          </cell>
          <cell r="U90">
            <v>12917.183775397853</v>
          </cell>
        </row>
        <row r="91">
          <cell r="A91">
            <v>43547</v>
          </cell>
          <cell r="B91" t="str">
            <v>Kw 12</v>
          </cell>
          <cell r="C91">
            <v>3</v>
          </cell>
          <cell r="D91">
            <v>6</v>
          </cell>
          <cell r="E91" t="str">
            <v>-</v>
          </cell>
          <cell r="L91">
            <v>8017.28</v>
          </cell>
          <cell r="U91">
            <v>0</v>
          </cell>
        </row>
        <row r="92">
          <cell r="A92">
            <v>43548</v>
          </cell>
          <cell r="B92" t="str">
            <v>Kw 12</v>
          </cell>
          <cell r="C92">
            <v>3</v>
          </cell>
          <cell r="D92">
            <v>7</v>
          </cell>
          <cell r="E92" t="str">
            <v>-</v>
          </cell>
          <cell r="L92">
            <v>6012.96</v>
          </cell>
          <cell r="U92">
            <v>0</v>
          </cell>
        </row>
        <row r="93">
          <cell r="A93">
            <v>43549</v>
          </cell>
          <cell r="B93" t="str">
            <v>Kw 13</v>
          </cell>
          <cell r="C93">
            <v>3</v>
          </cell>
          <cell r="D93">
            <v>1</v>
          </cell>
          <cell r="E93" t="str">
            <v>-</v>
          </cell>
          <cell r="L93">
            <v>10021.6</v>
          </cell>
          <cell r="U93">
            <v>9687.8878315483907</v>
          </cell>
        </row>
        <row r="94">
          <cell r="A94">
            <v>43550</v>
          </cell>
          <cell r="B94" t="str">
            <v>Kw 13</v>
          </cell>
          <cell r="C94">
            <v>3</v>
          </cell>
          <cell r="D94">
            <v>2</v>
          </cell>
          <cell r="E94" t="str">
            <v>-</v>
          </cell>
          <cell r="L94">
            <v>12527</v>
          </cell>
          <cell r="U94">
            <v>12917.183775397853</v>
          </cell>
        </row>
        <row r="95">
          <cell r="A95">
            <v>43551</v>
          </cell>
          <cell r="B95" t="str">
            <v>Kw 13</v>
          </cell>
          <cell r="C95">
            <v>3</v>
          </cell>
          <cell r="D95">
            <v>3</v>
          </cell>
          <cell r="E95" t="str">
            <v>-</v>
          </cell>
          <cell r="L95">
            <v>12527</v>
          </cell>
          <cell r="U95">
            <v>12917.183775397853</v>
          </cell>
        </row>
        <row r="96">
          <cell r="A96">
            <v>43552</v>
          </cell>
          <cell r="B96" t="str">
            <v>Kw 13</v>
          </cell>
          <cell r="C96">
            <v>3</v>
          </cell>
          <cell r="D96">
            <v>4</v>
          </cell>
          <cell r="E96" t="str">
            <v>-</v>
          </cell>
          <cell r="L96">
            <v>12527</v>
          </cell>
          <cell r="U96">
            <v>12917.183775397853</v>
          </cell>
        </row>
        <row r="97">
          <cell r="A97">
            <v>43553</v>
          </cell>
          <cell r="B97" t="str">
            <v>Kw 13</v>
          </cell>
          <cell r="C97">
            <v>3</v>
          </cell>
          <cell r="D97">
            <v>5</v>
          </cell>
          <cell r="E97" t="str">
            <v>-</v>
          </cell>
          <cell r="L97">
            <v>12527</v>
          </cell>
          <cell r="U97">
            <v>12917.183775397853</v>
          </cell>
        </row>
        <row r="98">
          <cell r="A98">
            <v>43554</v>
          </cell>
          <cell r="B98" t="str">
            <v>Kw 13</v>
          </cell>
          <cell r="C98">
            <v>3</v>
          </cell>
          <cell r="D98">
            <v>6</v>
          </cell>
          <cell r="E98" t="str">
            <v>-</v>
          </cell>
          <cell r="L98">
            <v>8017.28</v>
          </cell>
          <cell r="U98">
            <v>0</v>
          </cell>
        </row>
        <row r="99">
          <cell r="A99">
            <v>43555</v>
          </cell>
          <cell r="B99" t="str">
            <v>Kw 13</v>
          </cell>
          <cell r="C99">
            <v>3</v>
          </cell>
          <cell r="D99">
            <v>7</v>
          </cell>
          <cell r="E99" t="str">
            <v>-</v>
          </cell>
          <cell r="L99">
            <v>6012.96</v>
          </cell>
          <cell r="U99">
            <v>0</v>
          </cell>
        </row>
        <row r="100">
          <cell r="A100">
            <v>43556</v>
          </cell>
          <cell r="B100" t="str">
            <v>Kw 14</v>
          </cell>
          <cell r="C100">
            <v>4</v>
          </cell>
          <cell r="D100">
            <v>1</v>
          </cell>
          <cell r="E100" t="str">
            <v>-</v>
          </cell>
          <cell r="L100">
            <v>10021.6</v>
          </cell>
          <cell r="U100">
            <v>9412.2565516931936</v>
          </cell>
        </row>
        <row r="101">
          <cell r="A101">
            <v>43557</v>
          </cell>
          <cell r="B101" t="str">
            <v>Kw 14</v>
          </cell>
          <cell r="C101">
            <v>4</v>
          </cell>
          <cell r="D101">
            <v>2</v>
          </cell>
          <cell r="E101" t="str">
            <v>-</v>
          </cell>
          <cell r="L101">
            <v>12527</v>
          </cell>
          <cell r="U101">
            <v>15687.094252821984</v>
          </cell>
        </row>
        <row r="102">
          <cell r="A102">
            <v>43558</v>
          </cell>
          <cell r="B102" t="str">
            <v>Kw 14</v>
          </cell>
          <cell r="C102">
            <v>4</v>
          </cell>
          <cell r="D102">
            <v>3</v>
          </cell>
          <cell r="E102" t="str">
            <v>-</v>
          </cell>
          <cell r="L102">
            <v>12527</v>
          </cell>
          <cell r="U102">
            <v>15687.094252821984</v>
          </cell>
        </row>
        <row r="103">
          <cell r="A103">
            <v>43559</v>
          </cell>
          <cell r="B103" t="str">
            <v>Kw 14</v>
          </cell>
          <cell r="C103">
            <v>4</v>
          </cell>
          <cell r="D103">
            <v>4</v>
          </cell>
          <cell r="E103" t="str">
            <v>-</v>
          </cell>
          <cell r="L103">
            <v>12527</v>
          </cell>
          <cell r="U103">
            <v>15687.094252821984</v>
          </cell>
        </row>
        <row r="104">
          <cell r="A104">
            <v>43560</v>
          </cell>
          <cell r="B104" t="str">
            <v>Kw 14</v>
          </cell>
          <cell r="C104">
            <v>4</v>
          </cell>
          <cell r="D104">
            <v>5</v>
          </cell>
          <cell r="E104" t="str">
            <v>-</v>
          </cell>
          <cell r="L104">
            <v>12527</v>
          </cell>
          <cell r="U104">
            <v>15687.094252821984</v>
          </cell>
        </row>
        <row r="105">
          <cell r="A105">
            <v>43561</v>
          </cell>
          <cell r="B105" t="str">
            <v>Kw 14</v>
          </cell>
          <cell r="C105">
            <v>4</v>
          </cell>
          <cell r="D105">
            <v>6</v>
          </cell>
          <cell r="E105" t="str">
            <v>-</v>
          </cell>
          <cell r="L105">
            <v>8017.28</v>
          </cell>
          <cell r="U105">
            <v>0</v>
          </cell>
        </row>
        <row r="106">
          <cell r="A106">
            <v>43562</v>
          </cell>
          <cell r="B106" t="str">
            <v>Kw 14</v>
          </cell>
          <cell r="C106">
            <v>4</v>
          </cell>
          <cell r="D106">
            <v>7</v>
          </cell>
          <cell r="E106" t="str">
            <v>-</v>
          </cell>
          <cell r="L106">
            <v>6012.96</v>
          </cell>
          <cell r="U106">
            <v>0</v>
          </cell>
        </row>
        <row r="107">
          <cell r="A107">
            <v>43563</v>
          </cell>
          <cell r="B107" t="str">
            <v>Kw 15</v>
          </cell>
          <cell r="C107">
            <v>4</v>
          </cell>
          <cell r="D107">
            <v>1</v>
          </cell>
          <cell r="E107" t="str">
            <v>-</v>
          </cell>
          <cell r="L107">
            <v>10021.6</v>
          </cell>
          <cell r="U107">
            <v>9412.2565516931936</v>
          </cell>
        </row>
        <row r="108">
          <cell r="A108">
            <v>43564</v>
          </cell>
          <cell r="B108" t="str">
            <v>Kw 15</v>
          </cell>
          <cell r="C108">
            <v>4</v>
          </cell>
          <cell r="D108">
            <v>2</v>
          </cell>
          <cell r="E108" t="str">
            <v>-</v>
          </cell>
          <cell r="L108">
            <v>12527</v>
          </cell>
          <cell r="U108">
            <v>15687.094252821984</v>
          </cell>
        </row>
        <row r="109">
          <cell r="A109">
            <v>43565</v>
          </cell>
          <cell r="B109" t="str">
            <v>Kw 15</v>
          </cell>
          <cell r="C109">
            <v>4</v>
          </cell>
          <cell r="D109">
            <v>3</v>
          </cell>
          <cell r="E109" t="str">
            <v>-</v>
          </cell>
          <cell r="L109">
            <v>12527</v>
          </cell>
          <cell r="U109">
            <v>15687.094252821984</v>
          </cell>
        </row>
        <row r="110">
          <cell r="A110">
            <v>43566</v>
          </cell>
          <cell r="B110" t="str">
            <v>Kw 15</v>
          </cell>
          <cell r="C110">
            <v>4</v>
          </cell>
          <cell r="D110">
            <v>4</v>
          </cell>
          <cell r="E110" t="str">
            <v>-</v>
          </cell>
          <cell r="L110">
            <v>12527</v>
          </cell>
          <cell r="U110">
            <v>15687.094252821984</v>
          </cell>
        </row>
        <row r="111">
          <cell r="A111">
            <v>43567</v>
          </cell>
          <cell r="B111" t="str">
            <v>Kw 15</v>
          </cell>
          <cell r="C111">
            <v>4</v>
          </cell>
          <cell r="D111">
            <v>5</v>
          </cell>
          <cell r="E111" t="str">
            <v>-</v>
          </cell>
          <cell r="L111">
            <v>12527</v>
          </cell>
          <cell r="U111">
            <v>15687.094252821984</v>
          </cell>
        </row>
        <row r="112">
          <cell r="A112">
            <v>43568</v>
          </cell>
          <cell r="B112" t="str">
            <v>Kw 15</v>
          </cell>
          <cell r="C112">
            <v>4</v>
          </cell>
          <cell r="D112">
            <v>6</v>
          </cell>
          <cell r="E112" t="str">
            <v>-</v>
          </cell>
          <cell r="L112">
            <v>8017.28</v>
          </cell>
          <cell r="U112">
            <v>0</v>
          </cell>
        </row>
        <row r="113">
          <cell r="A113">
            <v>43569</v>
          </cell>
          <cell r="B113" t="str">
            <v>Kw 15</v>
          </cell>
          <cell r="C113">
            <v>4</v>
          </cell>
          <cell r="D113">
            <v>7</v>
          </cell>
          <cell r="E113" t="str">
            <v>-</v>
          </cell>
          <cell r="L113">
            <v>6012.96</v>
          </cell>
          <cell r="U113">
            <v>0</v>
          </cell>
        </row>
        <row r="114">
          <cell r="A114">
            <v>43570</v>
          </cell>
          <cell r="B114" t="str">
            <v>Kw 16</v>
          </cell>
          <cell r="C114">
            <v>4</v>
          </cell>
          <cell r="D114">
            <v>1</v>
          </cell>
          <cell r="E114" t="str">
            <v>-</v>
          </cell>
          <cell r="L114">
            <v>10021.6</v>
          </cell>
          <cell r="U114">
            <v>9412.2565516931936</v>
          </cell>
        </row>
        <row r="115">
          <cell r="A115">
            <v>43571</v>
          </cell>
          <cell r="B115" t="str">
            <v>Kw 16</v>
          </cell>
          <cell r="C115">
            <v>4</v>
          </cell>
          <cell r="D115">
            <v>2</v>
          </cell>
          <cell r="E115" t="str">
            <v>-</v>
          </cell>
          <cell r="L115">
            <v>12527</v>
          </cell>
          <cell r="U115">
            <v>15687.094252821984</v>
          </cell>
        </row>
        <row r="116">
          <cell r="A116">
            <v>43572</v>
          </cell>
          <cell r="B116" t="str">
            <v>Kw 16</v>
          </cell>
          <cell r="C116">
            <v>4</v>
          </cell>
          <cell r="D116">
            <v>3</v>
          </cell>
          <cell r="E116" t="str">
            <v>-</v>
          </cell>
          <cell r="L116">
            <v>12527</v>
          </cell>
          <cell r="U116">
            <v>15687.094252821984</v>
          </cell>
        </row>
        <row r="117">
          <cell r="A117">
            <v>43573</v>
          </cell>
          <cell r="B117" t="str">
            <v>Kw 16</v>
          </cell>
          <cell r="C117">
            <v>4</v>
          </cell>
          <cell r="D117">
            <v>4</v>
          </cell>
          <cell r="E117" t="str">
            <v>-</v>
          </cell>
          <cell r="L117">
            <v>12527</v>
          </cell>
          <cell r="U117">
            <v>15687.094252821984</v>
          </cell>
        </row>
        <row r="118">
          <cell r="A118">
            <v>43574</v>
          </cell>
          <cell r="B118" t="str">
            <v>Kw 16</v>
          </cell>
          <cell r="C118">
            <v>4</v>
          </cell>
          <cell r="D118">
            <v>5</v>
          </cell>
          <cell r="E118" t="str">
            <v>Karfreitag</v>
          </cell>
          <cell r="L118">
            <v>8017.28</v>
          </cell>
          <cell r="U118">
            <v>15687.094252821984</v>
          </cell>
        </row>
        <row r="119">
          <cell r="A119">
            <v>43575</v>
          </cell>
          <cell r="B119" t="str">
            <v>Kw 16</v>
          </cell>
          <cell r="C119">
            <v>4</v>
          </cell>
          <cell r="D119">
            <v>6</v>
          </cell>
          <cell r="E119" t="str">
            <v>-</v>
          </cell>
          <cell r="L119">
            <v>8017.28</v>
          </cell>
          <cell r="U119">
            <v>0</v>
          </cell>
        </row>
        <row r="120">
          <cell r="A120">
            <v>43576</v>
          </cell>
          <cell r="B120" t="str">
            <v>Kw 16</v>
          </cell>
          <cell r="C120">
            <v>4</v>
          </cell>
          <cell r="D120">
            <v>7</v>
          </cell>
          <cell r="E120" t="str">
            <v>-</v>
          </cell>
          <cell r="L120">
            <v>6012.96</v>
          </cell>
          <cell r="U120">
            <v>0</v>
          </cell>
        </row>
        <row r="121">
          <cell r="A121">
            <v>43577</v>
          </cell>
          <cell r="B121" t="str">
            <v>Kw 17</v>
          </cell>
          <cell r="C121">
            <v>4</v>
          </cell>
          <cell r="D121">
            <v>1</v>
          </cell>
          <cell r="E121" t="str">
            <v>Ostermontag</v>
          </cell>
          <cell r="L121">
            <v>8017.28</v>
          </cell>
          <cell r="U121">
            <v>9412.2565516931936</v>
          </cell>
        </row>
        <row r="122">
          <cell r="A122">
            <v>43578</v>
          </cell>
          <cell r="B122" t="str">
            <v>Kw 17</v>
          </cell>
          <cell r="C122">
            <v>4</v>
          </cell>
          <cell r="D122">
            <v>2</v>
          </cell>
          <cell r="E122" t="str">
            <v>-</v>
          </cell>
          <cell r="L122">
            <v>12527</v>
          </cell>
          <cell r="U122">
            <v>15687.094252821984</v>
          </cell>
        </row>
        <row r="123">
          <cell r="A123">
            <v>43579</v>
          </cell>
          <cell r="B123" t="str">
            <v>Kw 17</v>
          </cell>
          <cell r="C123">
            <v>4</v>
          </cell>
          <cell r="D123">
            <v>3</v>
          </cell>
          <cell r="E123" t="str">
            <v>-</v>
          </cell>
          <cell r="L123">
            <v>12527</v>
          </cell>
          <cell r="U123">
            <v>15687.094252821984</v>
          </cell>
        </row>
        <row r="124">
          <cell r="A124">
            <v>43580</v>
          </cell>
          <cell r="B124" t="str">
            <v>Kw 17</v>
          </cell>
          <cell r="C124">
            <v>4</v>
          </cell>
          <cell r="D124">
            <v>4</v>
          </cell>
          <cell r="E124" t="str">
            <v>-</v>
          </cell>
          <cell r="L124">
            <v>12527</v>
          </cell>
          <cell r="U124">
            <v>15687.094252821984</v>
          </cell>
        </row>
        <row r="125">
          <cell r="A125">
            <v>43581</v>
          </cell>
          <cell r="B125" t="str">
            <v>Kw 17</v>
          </cell>
          <cell r="C125">
            <v>4</v>
          </cell>
          <cell r="D125">
            <v>5</v>
          </cell>
          <cell r="E125" t="str">
            <v>-</v>
          </cell>
          <cell r="L125">
            <v>12527</v>
          </cell>
          <cell r="U125">
            <v>15687.094252821984</v>
          </cell>
        </row>
        <row r="126">
          <cell r="A126">
            <v>43582</v>
          </cell>
          <cell r="B126" t="str">
            <v>Kw 17</v>
          </cell>
          <cell r="C126">
            <v>4</v>
          </cell>
          <cell r="D126">
            <v>6</v>
          </cell>
          <cell r="E126" t="str">
            <v>-</v>
          </cell>
          <cell r="L126">
            <v>8017.28</v>
          </cell>
          <cell r="U126">
            <v>0</v>
          </cell>
        </row>
        <row r="127">
          <cell r="A127">
            <v>43583</v>
          </cell>
          <cell r="B127" t="str">
            <v>Kw 17</v>
          </cell>
          <cell r="C127">
            <v>4</v>
          </cell>
          <cell r="D127">
            <v>7</v>
          </cell>
          <cell r="E127" t="str">
            <v>-</v>
          </cell>
          <cell r="L127">
            <v>6012.96</v>
          </cell>
          <cell r="U127">
            <v>0</v>
          </cell>
        </row>
        <row r="128">
          <cell r="A128">
            <v>43584</v>
          </cell>
          <cell r="B128" t="str">
            <v>Kw 18</v>
          </cell>
          <cell r="C128">
            <v>4</v>
          </cell>
          <cell r="D128">
            <v>1</v>
          </cell>
          <cell r="E128" t="str">
            <v>-</v>
          </cell>
          <cell r="L128">
            <v>10021.6</v>
          </cell>
          <cell r="U128">
            <v>9412.2565516931936</v>
          </cell>
        </row>
        <row r="129">
          <cell r="A129">
            <v>43585</v>
          </cell>
          <cell r="B129" t="str">
            <v>Kw 18</v>
          </cell>
          <cell r="C129">
            <v>4</v>
          </cell>
          <cell r="D129">
            <v>2</v>
          </cell>
          <cell r="E129" t="str">
            <v>-</v>
          </cell>
          <cell r="L129">
            <v>12527</v>
          </cell>
          <cell r="U129">
            <v>15687.094252821984</v>
          </cell>
        </row>
        <row r="130">
          <cell r="A130">
            <v>43586</v>
          </cell>
          <cell r="B130" t="str">
            <v>Kw 18</v>
          </cell>
          <cell r="C130">
            <v>5</v>
          </cell>
          <cell r="D130">
            <v>3</v>
          </cell>
          <cell r="E130" t="str">
            <v>Tag der Arbeit</v>
          </cell>
          <cell r="L130">
            <v>8017.28</v>
          </cell>
          <cell r="U130">
            <v>15693.731337527759</v>
          </cell>
        </row>
        <row r="131">
          <cell r="A131">
            <v>43587</v>
          </cell>
          <cell r="B131" t="str">
            <v>Kw 18</v>
          </cell>
          <cell r="C131">
            <v>5</v>
          </cell>
          <cell r="D131">
            <v>4</v>
          </cell>
          <cell r="E131" t="str">
            <v>-</v>
          </cell>
          <cell r="L131">
            <v>12527</v>
          </cell>
          <cell r="U131">
            <v>15693.731337527759</v>
          </cell>
        </row>
        <row r="132">
          <cell r="A132">
            <v>43588</v>
          </cell>
          <cell r="B132" t="str">
            <v>Kw 18</v>
          </cell>
          <cell r="C132">
            <v>5</v>
          </cell>
          <cell r="D132">
            <v>5</v>
          </cell>
          <cell r="E132" t="str">
            <v>-</v>
          </cell>
          <cell r="L132">
            <v>12527</v>
          </cell>
          <cell r="U132">
            <v>15693.731337527759</v>
          </cell>
        </row>
        <row r="133">
          <cell r="A133">
            <v>43589</v>
          </cell>
          <cell r="B133" t="str">
            <v>Kw 18</v>
          </cell>
          <cell r="C133">
            <v>5</v>
          </cell>
          <cell r="D133">
            <v>6</v>
          </cell>
          <cell r="E133" t="str">
            <v>-</v>
          </cell>
          <cell r="L133">
            <v>8017.28</v>
          </cell>
          <cell r="U133">
            <v>0</v>
          </cell>
        </row>
        <row r="134">
          <cell r="A134">
            <v>43590</v>
          </cell>
          <cell r="B134" t="str">
            <v>Kw 18</v>
          </cell>
          <cell r="C134">
            <v>5</v>
          </cell>
          <cell r="D134">
            <v>7</v>
          </cell>
          <cell r="E134" t="str">
            <v>-</v>
          </cell>
          <cell r="L134">
            <v>6012.96</v>
          </cell>
          <cell r="U134">
            <v>0</v>
          </cell>
        </row>
        <row r="135">
          <cell r="A135">
            <v>43591</v>
          </cell>
          <cell r="B135" t="str">
            <v>Kw 19</v>
          </cell>
          <cell r="C135">
            <v>5</v>
          </cell>
          <cell r="D135">
            <v>1</v>
          </cell>
          <cell r="E135" t="str">
            <v>-</v>
          </cell>
          <cell r="L135">
            <v>10021.6</v>
          </cell>
          <cell r="U135">
            <v>13155.039503515916</v>
          </cell>
        </row>
        <row r="136">
          <cell r="A136">
            <v>43592</v>
          </cell>
          <cell r="B136" t="str">
            <v>Kw 19</v>
          </cell>
          <cell r="C136">
            <v>5</v>
          </cell>
          <cell r="D136">
            <v>2</v>
          </cell>
          <cell r="E136" t="str">
            <v>-</v>
          </cell>
          <cell r="L136">
            <v>12527</v>
          </cell>
          <cell r="U136">
            <v>15693.731337527759</v>
          </cell>
        </row>
        <row r="137">
          <cell r="A137">
            <v>43593</v>
          </cell>
          <cell r="B137" t="str">
            <v>Kw 19</v>
          </cell>
          <cell r="C137">
            <v>5</v>
          </cell>
          <cell r="D137">
            <v>3</v>
          </cell>
          <cell r="E137" t="str">
            <v>-</v>
          </cell>
          <cell r="L137">
            <v>12527</v>
          </cell>
          <cell r="U137">
            <v>15693.731337527759</v>
          </cell>
        </row>
        <row r="138">
          <cell r="A138">
            <v>43594</v>
          </cell>
          <cell r="B138" t="str">
            <v>Kw 19</v>
          </cell>
          <cell r="C138">
            <v>5</v>
          </cell>
          <cell r="D138">
            <v>4</v>
          </cell>
          <cell r="E138" t="str">
            <v>-</v>
          </cell>
          <cell r="L138">
            <v>12527</v>
          </cell>
          <cell r="U138">
            <v>15693.731337527759</v>
          </cell>
        </row>
        <row r="139">
          <cell r="A139">
            <v>43595</v>
          </cell>
          <cell r="B139" t="str">
            <v>Kw 19</v>
          </cell>
          <cell r="C139">
            <v>5</v>
          </cell>
          <cell r="D139">
            <v>5</v>
          </cell>
          <cell r="E139" t="str">
            <v>-</v>
          </cell>
          <cell r="L139">
            <v>12527</v>
          </cell>
          <cell r="U139">
            <v>15693.731337527759</v>
          </cell>
        </row>
        <row r="140">
          <cell r="A140">
            <v>43596</v>
          </cell>
          <cell r="B140" t="str">
            <v>Kw 19</v>
          </cell>
          <cell r="C140">
            <v>5</v>
          </cell>
          <cell r="D140">
            <v>6</v>
          </cell>
          <cell r="E140" t="str">
            <v>-</v>
          </cell>
          <cell r="L140">
            <v>8017.28</v>
          </cell>
          <cell r="U140">
            <v>0</v>
          </cell>
        </row>
        <row r="141">
          <cell r="A141">
            <v>43597</v>
          </cell>
          <cell r="B141" t="str">
            <v>Kw 19</v>
          </cell>
          <cell r="C141">
            <v>5</v>
          </cell>
          <cell r="D141">
            <v>7</v>
          </cell>
          <cell r="E141" t="str">
            <v>-</v>
          </cell>
          <cell r="L141">
            <v>6012.96</v>
          </cell>
          <cell r="U141">
            <v>0</v>
          </cell>
        </row>
        <row r="142">
          <cell r="A142">
            <v>43598</v>
          </cell>
          <cell r="B142" t="str">
            <v>Kw 20</v>
          </cell>
          <cell r="C142">
            <v>5</v>
          </cell>
          <cell r="D142">
            <v>1</v>
          </cell>
          <cell r="E142" t="str">
            <v>-</v>
          </cell>
          <cell r="L142">
            <v>10021.6</v>
          </cell>
          <cell r="U142">
            <v>13155.039503515916</v>
          </cell>
        </row>
        <row r="143">
          <cell r="A143">
            <v>43599</v>
          </cell>
          <cell r="B143" t="str">
            <v>Kw 20</v>
          </cell>
          <cell r="C143">
            <v>5</v>
          </cell>
          <cell r="D143">
            <v>2</v>
          </cell>
          <cell r="E143" t="str">
            <v>-</v>
          </cell>
          <cell r="L143">
            <v>12527</v>
          </cell>
          <cell r="U143">
            <v>15693.731337527759</v>
          </cell>
        </row>
        <row r="144">
          <cell r="A144">
            <v>43600</v>
          </cell>
          <cell r="B144" t="str">
            <v>Kw 20</v>
          </cell>
          <cell r="C144">
            <v>5</v>
          </cell>
          <cell r="D144">
            <v>3</v>
          </cell>
          <cell r="E144" t="str">
            <v>-</v>
          </cell>
          <cell r="L144">
            <v>12527</v>
          </cell>
          <cell r="U144">
            <v>15693.731337527759</v>
          </cell>
        </row>
        <row r="145">
          <cell r="A145">
            <v>43601</v>
          </cell>
          <cell r="B145" t="str">
            <v>Kw 20</v>
          </cell>
          <cell r="C145">
            <v>5</v>
          </cell>
          <cell r="D145">
            <v>4</v>
          </cell>
          <cell r="E145" t="str">
            <v>-</v>
          </cell>
          <cell r="L145">
            <v>12527</v>
          </cell>
          <cell r="U145">
            <v>15693.731337527759</v>
          </cell>
        </row>
        <row r="146">
          <cell r="A146">
            <v>43602</v>
          </cell>
          <cell r="B146" t="str">
            <v>Kw 20</v>
          </cell>
          <cell r="C146">
            <v>5</v>
          </cell>
          <cell r="D146">
            <v>5</v>
          </cell>
          <cell r="E146" t="str">
            <v>-</v>
          </cell>
          <cell r="L146">
            <v>12527</v>
          </cell>
          <cell r="U146">
            <v>15693.731337527759</v>
          </cell>
        </row>
        <row r="147">
          <cell r="A147">
            <v>43603</v>
          </cell>
          <cell r="B147" t="str">
            <v>Kw 20</v>
          </cell>
          <cell r="C147">
            <v>5</v>
          </cell>
          <cell r="D147">
            <v>6</v>
          </cell>
          <cell r="E147" t="str">
            <v>-</v>
          </cell>
          <cell r="L147">
            <v>8017.28</v>
          </cell>
          <cell r="U147">
            <v>0</v>
          </cell>
        </row>
        <row r="148">
          <cell r="A148">
            <v>43604</v>
          </cell>
          <cell r="B148" t="str">
            <v>Kw 20</v>
          </cell>
          <cell r="C148">
            <v>5</v>
          </cell>
          <cell r="D148">
            <v>7</v>
          </cell>
          <cell r="E148" t="str">
            <v>-</v>
          </cell>
          <cell r="L148">
            <v>6012.96</v>
          </cell>
          <cell r="U148">
            <v>0</v>
          </cell>
        </row>
        <row r="149">
          <cell r="A149">
            <v>43605</v>
          </cell>
          <cell r="B149" t="str">
            <v>Kw 21</v>
          </cell>
          <cell r="C149">
            <v>5</v>
          </cell>
          <cell r="D149">
            <v>1</v>
          </cell>
          <cell r="E149" t="str">
            <v>-</v>
          </cell>
          <cell r="L149">
            <v>10021.6</v>
          </cell>
          <cell r="U149">
            <v>13155.039503515916</v>
          </cell>
        </row>
        <row r="150">
          <cell r="A150">
            <v>43606</v>
          </cell>
          <cell r="B150" t="str">
            <v>Kw 21</v>
          </cell>
          <cell r="C150">
            <v>5</v>
          </cell>
          <cell r="D150">
            <v>2</v>
          </cell>
          <cell r="E150" t="str">
            <v>-</v>
          </cell>
          <cell r="L150">
            <v>12527</v>
          </cell>
          <cell r="U150">
            <v>15693.731337527759</v>
          </cell>
        </row>
        <row r="151">
          <cell r="A151">
            <v>43607</v>
          </cell>
          <cell r="B151" t="str">
            <v>Kw 21</v>
          </cell>
          <cell r="C151">
            <v>5</v>
          </cell>
          <cell r="D151">
            <v>3</v>
          </cell>
          <cell r="E151" t="str">
            <v>-</v>
          </cell>
          <cell r="L151">
            <v>12527</v>
          </cell>
          <cell r="U151">
            <v>15693.731337527759</v>
          </cell>
        </row>
        <row r="152">
          <cell r="A152">
            <v>43608</v>
          </cell>
          <cell r="B152" t="str">
            <v>Kw 21</v>
          </cell>
          <cell r="C152">
            <v>5</v>
          </cell>
          <cell r="D152">
            <v>4</v>
          </cell>
          <cell r="E152" t="str">
            <v>-</v>
          </cell>
          <cell r="L152">
            <v>12527</v>
          </cell>
          <cell r="U152">
            <v>15693.731337527759</v>
          </cell>
        </row>
        <row r="153">
          <cell r="A153">
            <v>43609</v>
          </cell>
          <cell r="B153" t="str">
            <v>Kw 21</v>
          </cell>
          <cell r="C153">
            <v>5</v>
          </cell>
          <cell r="D153">
            <v>5</v>
          </cell>
          <cell r="E153" t="str">
            <v>-</v>
          </cell>
          <cell r="L153">
            <v>12527</v>
          </cell>
          <cell r="U153">
            <v>15693.731337527759</v>
          </cell>
        </row>
        <row r="154">
          <cell r="A154">
            <v>43610</v>
          </cell>
          <cell r="B154" t="str">
            <v>Kw 21</v>
          </cell>
          <cell r="C154">
            <v>5</v>
          </cell>
          <cell r="D154">
            <v>6</v>
          </cell>
          <cell r="E154" t="str">
            <v>-</v>
          </cell>
          <cell r="L154">
            <v>8017.28</v>
          </cell>
          <cell r="U154">
            <v>0</v>
          </cell>
        </row>
        <row r="155">
          <cell r="A155">
            <v>43611</v>
          </cell>
          <cell r="B155" t="str">
            <v>Kw 21</v>
          </cell>
          <cell r="C155">
            <v>5</v>
          </cell>
          <cell r="D155">
            <v>7</v>
          </cell>
          <cell r="E155" t="str">
            <v>-</v>
          </cell>
          <cell r="L155">
            <v>6012.96</v>
          </cell>
          <cell r="U155">
            <v>0</v>
          </cell>
        </row>
        <row r="156">
          <cell r="A156">
            <v>43612</v>
          </cell>
          <cell r="B156" t="str">
            <v>Kw 22</v>
          </cell>
          <cell r="C156">
            <v>5</v>
          </cell>
          <cell r="D156">
            <v>1</v>
          </cell>
          <cell r="E156" t="str">
            <v>-</v>
          </cell>
          <cell r="L156">
            <v>10021.6</v>
          </cell>
          <cell r="U156">
            <v>13155.039503515916</v>
          </cell>
        </row>
        <row r="157">
          <cell r="A157">
            <v>43613</v>
          </cell>
          <cell r="B157" t="str">
            <v>Kw 22</v>
          </cell>
          <cell r="C157">
            <v>5</v>
          </cell>
          <cell r="D157">
            <v>2</v>
          </cell>
          <cell r="E157" t="str">
            <v>-</v>
          </cell>
          <cell r="L157">
            <v>12527</v>
          </cell>
          <cell r="U157">
            <v>15693.731337527759</v>
          </cell>
        </row>
        <row r="158">
          <cell r="A158">
            <v>43614</v>
          </cell>
          <cell r="B158" t="str">
            <v>Kw 22</v>
          </cell>
          <cell r="C158">
            <v>5</v>
          </cell>
          <cell r="D158">
            <v>3</v>
          </cell>
          <cell r="E158" t="str">
            <v>-</v>
          </cell>
          <cell r="L158">
            <v>12527</v>
          </cell>
          <cell r="U158">
            <v>15693.731337527759</v>
          </cell>
        </row>
        <row r="159">
          <cell r="A159">
            <v>43615</v>
          </cell>
          <cell r="B159" t="str">
            <v>Kw 22</v>
          </cell>
          <cell r="C159">
            <v>5</v>
          </cell>
          <cell r="D159">
            <v>4</v>
          </cell>
          <cell r="E159" t="str">
            <v>Christi Himmelfahrt</v>
          </cell>
          <cell r="L159">
            <v>8017.28</v>
          </cell>
          <cell r="U159">
            <v>15693.731337527759</v>
          </cell>
        </row>
        <row r="160">
          <cell r="A160">
            <v>43616</v>
          </cell>
          <cell r="B160" t="str">
            <v>Kw 22</v>
          </cell>
          <cell r="C160">
            <v>5</v>
          </cell>
          <cell r="D160">
            <v>5</v>
          </cell>
          <cell r="E160" t="str">
            <v>-</v>
          </cell>
          <cell r="L160">
            <v>12527</v>
          </cell>
          <cell r="U160">
            <v>15693.731337527759</v>
          </cell>
        </row>
        <row r="161">
          <cell r="A161">
            <v>43617</v>
          </cell>
          <cell r="B161" t="str">
            <v>Kw 22</v>
          </cell>
          <cell r="C161">
            <v>6</v>
          </cell>
          <cell r="D161">
            <v>6</v>
          </cell>
          <cell r="E161" t="str">
            <v>-</v>
          </cell>
          <cell r="L161">
            <v>8017.28</v>
          </cell>
          <cell r="U161">
            <v>0</v>
          </cell>
        </row>
        <row r="162">
          <cell r="A162">
            <v>43618</v>
          </cell>
          <cell r="B162" t="str">
            <v>Kw 22</v>
          </cell>
          <cell r="C162">
            <v>6</v>
          </cell>
          <cell r="D162">
            <v>7</v>
          </cell>
          <cell r="E162" t="str">
            <v>-</v>
          </cell>
          <cell r="L162">
            <v>6012.96</v>
          </cell>
          <cell r="U162">
            <v>0</v>
          </cell>
        </row>
        <row r="163">
          <cell r="A163">
            <v>43619</v>
          </cell>
          <cell r="B163" t="str">
            <v>Kw 23</v>
          </cell>
          <cell r="C163">
            <v>6</v>
          </cell>
          <cell r="D163">
            <v>1</v>
          </cell>
          <cell r="E163" t="str">
            <v>-</v>
          </cell>
          <cell r="L163">
            <v>10021.6</v>
          </cell>
          <cell r="U163">
            <v>10317.113373727794</v>
          </cell>
        </row>
        <row r="164">
          <cell r="A164">
            <v>43620</v>
          </cell>
          <cell r="B164" t="str">
            <v>Kw 23</v>
          </cell>
          <cell r="C164">
            <v>6</v>
          </cell>
          <cell r="D164">
            <v>2</v>
          </cell>
          <cell r="E164" t="str">
            <v>-</v>
          </cell>
          <cell r="L164">
            <v>12527</v>
          </cell>
          <cell r="U164">
            <v>14615.910612781041</v>
          </cell>
        </row>
        <row r="165">
          <cell r="A165">
            <v>43621</v>
          </cell>
          <cell r="B165" t="str">
            <v>Kw 23</v>
          </cell>
          <cell r="C165">
            <v>6</v>
          </cell>
          <cell r="D165">
            <v>3</v>
          </cell>
          <cell r="E165" t="str">
            <v>-</v>
          </cell>
          <cell r="L165">
            <v>12527</v>
          </cell>
          <cell r="U165">
            <v>14615.910612781041</v>
          </cell>
        </row>
        <row r="166">
          <cell r="A166">
            <v>43622</v>
          </cell>
          <cell r="B166" t="str">
            <v>Kw 23</v>
          </cell>
          <cell r="C166">
            <v>6</v>
          </cell>
          <cell r="D166">
            <v>4</v>
          </cell>
          <cell r="E166" t="str">
            <v>-</v>
          </cell>
          <cell r="L166">
            <v>12527</v>
          </cell>
          <cell r="U166">
            <v>14615.910612781041</v>
          </cell>
        </row>
        <row r="167">
          <cell r="A167">
            <v>43623</v>
          </cell>
          <cell r="B167" t="str">
            <v>Kw 23</v>
          </cell>
          <cell r="C167">
            <v>6</v>
          </cell>
          <cell r="D167">
            <v>5</v>
          </cell>
          <cell r="E167" t="str">
            <v>-</v>
          </cell>
          <cell r="L167">
            <v>12527</v>
          </cell>
          <cell r="U167">
            <v>14615.910612781041</v>
          </cell>
        </row>
        <row r="168">
          <cell r="A168">
            <v>43624</v>
          </cell>
          <cell r="B168" t="str">
            <v>Kw 23</v>
          </cell>
          <cell r="C168">
            <v>6</v>
          </cell>
          <cell r="D168">
            <v>6</v>
          </cell>
          <cell r="E168" t="str">
            <v>-</v>
          </cell>
          <cell r="L168">
            <v>8017.28</v>
          </cell>
          <cell r="U168">
            <v>0</v>
          </cell>
        </row>
        <row r="169">
          <cell r="A169">
            <v>43625</v>
          </cell>
          <cell r="B169" t="str">
            <v>Kw 23</v>
          </cell>
          <cell r="C169">
            <v>6</v>
          </cell>
          <cell r="D169">
            <v>7</v>
          </cell>
          <cell r="E169" t="str">
            <v>-</v>
          </cell>
          <cell r="L169">
            <v>6012.96</v>
          </cell>
          <cell r="U169">
            <v>0</v>
          </cell>
        </row>
        <row r="170">
          <cell r="A170">
            <v>43626</v>
          </cell>
          <cell r="B170" t="str">
            <v>Kw 24</v>
          </cell>
          <cell r="C170">
            <v>6</v>
          </cell>
          <cell r="D170">
            <v>1</v>
          </cell>
          <cell r="E170" t="str">
            <v>Pfingstmontag</v>
          </cell>
          <cell r="L170">
            <v>8017.28</v>
          </cell>
          <cell r="U170">
            <v>10317.113373727794</v>
          </cell>
        </row>
        <row r="171">
          <cell r="A171">
            <v>43627</v>
          </cell>
          <cell r="B171" t="str">
            <v>Kw 24</v>
          </cell>
          <cell r="C171">
            <v>6</v>
          </cell>
          <cell r="D171">
            <v>2</v>
          </cell>
          <cell r="E171" t="str">
            <v>-</v>
          </cell>
          <cell r="L171">
            <v>12527</v>
          </cell>
          <cell r="U171">
            <v>14615.910612781041</v>
          </cell>
        </row>
        <row r="172">
          <cell r="A172">
            <v>43628</v>
          </cell>
          <cell r="B172" t="str">
            <v>Kw 24</v>
          </cell>
          <cell r="C172">
            <v>6</v>
          </cell>
          <cell r="D172">
            <v>3</v>
          </cell>
          <cell r="E172" t="str">
            <v>-</v>
          </cell>
          <cell r="L172">
            <v>12527</v>
          </cell>
          <cell r="U172">
            <v>14615.910612781041</v>
          </cell>
        </row>
        <row r="173">
          <cell r="A173">
            <v>43629</v>
          </cell>
          <cell r="B173" t="str">
            <v>Kw 24</v>
          </cell>
          <cell r="C173">
            <v>6</v>
          </cell>
          <cell r="D173">
            <v>4</v>
          </cell>
          <cell r="E173" t="str">
            <v>-</v>
          </cell>
          <cell r="L173">
            <v>12527</v>
          </cell>
          <cell r="U173">
            <v>14615.910612781041</v>
          </cell>
        </row>
        <row r="174">
          <cell r="A174">
            <v>43630</v>
          </cell>
          <cell r="B174" t="str">
            <v>Kw 24</v>
          </cell>
          <cell r="C174">
            <v>6</v>
          </cell>
          <cell r="D174">
            <v>5</v>
          </cell>
          <cell r="E174" t="str">
            <v>-</v>
          </cell>
          <cell r="L174">
            <v>12527</v>
          </cell>
          <cell r="U174">
            <v>14615.910612781041</v>
          </cell>
        </row>
        <row r="175">
          <cell r="A175">
            <v>43631</v>
          </cell>
          <cell r="B175" t="str">
            <v>Kw 24</v>
          </cell>
          <cell r="C175">
            <v>6</v>
          </cell>
          <cell r="D175">
            <v>6</v>
          </cell>
          <cell r="E175" t="str">
            <v>-</v>
          </cell>
          <cell r="L175">
            <v>8017.28</v>
          </cell>
          <cell r="U175">
            <v>0</v>
          </cell>
        </row>
        <row r="176">
          <cell r="A176">
            <v>43632</v>
          </cell>
          <cell r="B176" t="str">
            <v>Kw 24</v>
          </cell>
          <cell r="C176">
            <v>6</v>
          </cell>
          <cell r="D176">
            <v>7</v>
          </cell>
          <cell r="E176" t="str">
            <v>-</v>
          </cell>
          <cell r="L176">
            <v>6012.96</v>
          </cell>
          <cell r="U176">
            <v>0</v>
          </cell>
        </row>
        <row r="177">
          <cell r="A177">
            <v>43633</v>
          </cell>
          <cell r="B177" t="str">
            <v>Kw 25</v>
          </cell>
          <cell r="C177">
            <v>6</v>
          </cell>
          <cell r="D177">
            <v>1</v>
          </cell>
          <cell r="E177" t="str">
            <v>-</v>
          </cell>
          <cell r="L177">
            <v>10021.6</v>
          </cell>
          <cell r="U177">
            <v>10317.113373727794</v>
          </cell>
        </row>
        <row r="178">
          <cell r="A178">
            <v>43634</v>
          </cell>
          <cell r="B178" t="str">
            <v>Kw 25</v>
          </cell>
          <cell r="C178">
            <v>6</v>
          </cell>
          <cell r="D178">
            <v>2</v>
          </cell>
          <cell r="E178" t="str">
            <v>-</v>
          </cell>
          <cell r="L178">
            <v>12527</v>
          </cell>
          <cell r="U178">
            <v>14615.910612781041</v>
          </cell>
        </row>
        <row r="179">
          <cell r="A179">
            <v>43635</v>
          </cell>
          <cell r="B179" t="str">
            <v>Kw 25</v>
          </cell>
          <cell r="C179">
            <v>6</v>
          </cell>
          <cell r="D179">
            <v>3</v>
          </cell>
          <cell r="E179" t="str">
            <v>-</v>
          </cell>
          <cell r="L179">
            <v>12527</v>
          </cell>
          <cell r="U179">
            <v>14615.910612781041</v>
          </cell>
        </row>
        <row r="180">
          <cell r="A180">
            <v>43636</v>
          </cell>
          <cell r="B180" t="str">
            <v>Kw 25</v>
          </cell>
          <cell r="C180">
            <v>6</v>
          </cell>
          <cell r="D180">
            <v>4</v>
          </cell>
          <cell r="E180" t="str">
            <v>Fronleichnam</v>
          </cell>
          <cell r="L180">
            <v>8017.28</v>
          </cell>
          <cell r="U180">
            <v>14615.910612781041</v>
          </cell>
        </row>
        <row r="181">
          <cell r="A181">
            <v>43637</v>
          </cell>
          <cell r="B181" t="str">
            <v>Kw 25</v>
          </cell>
          <cell r="C181">
            <v>6</v>
          </cell>
          <cell r="D181">
            <v>5</v>
          </cell>
          <cell r="E181" t="str">
            <v>-</v>
          </cell>
          <cell r="L181">
            <v>12527</v>
          </cell>
          <cell r="U181">
            <v>14615.910612781041</v>
          </cell>
        </row>
        <row r="182">
          <cell r="A182">
            <v>43638</v>
          </cell>
          <cell r="B182" t="str">
            <v>Kw 25</v>
          </cell>
          <cell r="C182">
            <v>6</v>
          </cell>
          <cell r="D182">
            <v>6</v>
          </cell>
          <cell r="E182" t="str">
            <v>-</v>
          </cell>
          <cell r="L182">
            <v>8017.28</v>
          </cell>
          <cell r="U182">
            <v>0</v>
          </cell>
        </row>
        <row r="183">
          <cell r="A183">
            <v>43639</v>
          </cell>
          <cell r="B183" t="str">
            <v>Kw 25</v>
          </cell>
          <cell r="C183">
            <v>6</v>
          </cell>
          <cell r="D183">
            <v>7</v>
          </cell>
          <cell r="E183" t="str">
            <v>-</v>
          </cell>
          <cell r="L183">
            <v>6012.96</v>
          </cell>
          <cell r="U183">
            <v>0</v>
          </cell>
        </row>
        <row r="184">
          <cell r="A184">
            <v>43640</v>
          </cell>
          <cell r="B184" t="str">
            <v>Kw 26</v>
          </cell>
          <cell r="C184">
            <v>6</v>
          </cell>
          <cell r="D184">
            <v>1</v>
          </cell>
          <cell r="E184" t="str">
            <v>-</v>
          </cell>
          <cell r="L184">
            <v>10021.6</v>
          </cell>
          <cell r="U184">
            <v>10317.113373727794</v>
          </cell>
        </row>
        <row r="185">
          <cell r="A185">
            <v>43641</v>
          </cell>
          <cell r="B185" t="str">
            <v>Kw 26</v>
          </cell>
          <cell r="C185">
            <v>6</v>
          </cell>
          <cell r="D185">
            <v>2</v>
          </cell>
          <cell r="E185" t="str">
            <v>-</v>
          </cell>
          <cell r="L185">
            <v>12527</v>
          </cell>
          <cell r="U185">
            <v>14615.910612781041</v>
          </cell>
        </row>
        <row r="186">
          <cell r="A186">
            <v>43642</v>
          </cell>
          <cell r="B186" t="str">
            <v>Kw 26</v>
          </cell>
          <cell r="C186">
            <v>6</v>
          </cell>
          <cell r="D186">
            <v>3</v>
          </cell>
          <cell r="E186" t="str">
            <v>-</v>
          </cell>
          <cell r="L186">
            <v>12527</v>
          </cell>
          <cell r="U186">
            <v>14615.910612781041</v>
          </cell>
        </row>
        <row r="187">
          <cell r="A187">
            <v>43643</v>
          </cell>
          <cell r="B187" t="str">
            <v>Kw 26</v>
          </cell>
          <cell r="C187">
            <v>6</v>
          </cell>
          <cell r="D187">
            <v>4</v>
          </cell>
          <cell r="E187" t="str">
            <v>-</v>
          </cell>
          <cell r="L187">
            <v>12527</v>
          </cell>
          <cell r="U187">
            <v>14615.910612781041</v>
          </cell>
        </row>
        <row r="188">
          <cell r="A188">
            <v>43644</v>
          </cell>
          <cell r="B188" t="str">
            <v>Kw 26</v>
          </cell>
          <cell r="C188">
            <v>6</v>
          </cell>
          <cell r="D188">
            <v>5</v>
          </cell>
          <cell r="E188" t="str">
            <v>-</v>
          </cell>
          <cell r="L188">
            <v>12527</v>
          </cell>
          <cell r="U188">
            <v>14615.910612781041</v>
          </cell>
        </row>
        <row r="189">
          <cell r="A189">
            <v>43645</v>
          </cell>
          <cell r="B189" t="str">
            <v>Kw 26</v>
          </cell>
          <cell r="C189">
            <v>6</v>
          </cell>
          <cell r="D189">
            <v>6</v>
          </cell>
          <cell r="E189" t="str">
            <v>-</v>
          </cell>
          <cell r="L189">
            <v>8017.28</v>
          </cell>
          <cell r="U189">
            <v>0</v>
          </cell>
        </row>
        <row r="190">
          <cell r="A190">
            <v>43646</v>
          </cell>
          <cell r="B190" t="str">
            <v>Kw 26</v>
          </cell>
          <cell r="C190">
            <v>6</v>
          </cell>
          <cell r="D190">
            <v>7</v>
          </cell>
          <cell r="E190" t="str">
            <v>-</v>
          </cell>
          <cell r="L190">
            <v>6012.96</v>
          </cell>
          <cell r="U190">
            <v>0</v>
          </cell>
        </row>
        <row r="191">
          <cell r="A191">
            <v>43647</v>
          </cell>
          <cell r="B191" t="str">
            <v>Kw 27</v>
          </cell>
          <cell r="C191">
            <v>7</v>
          </cell>
          <cell r="D191">
            <v>1</v>
          </cell>
          <cell r="E191" t="str">
            <v>-</v>
          </cell>
          <cell r="L191">
            <v>10021.6</v>
          </cell>
          <cell r="U191">
            <v>9175.3781903682502</v>
          </cell>
        </row>
        <row r="192">
          <cell r="A192">
            <v>43648</v>
          </cell>
          <cell r="B192" t="str">
            <v>Kw 27</v>
          </cell>
          <cell r="C192">
            <v>7</v>
          </cell>
          <cell r="D192">
            <v>2</v>
          </cell>
          <cell r="E192" t="str">
            <v>-</v>
          </cell>
          <cell r="L192">
            <v>12527</v>
          </cell>
          <cell r="U192">
            <v>14442.724929283351</v>
          </cell>
        </row>
        <row r="193">
          <cell r="A193">
            <v>43649</v>
          </cell>
          <cell r="B193" t="str">
            <v>Kw 27</v>
          </cell>
          <cell r="C193">
            <v>7</v>
          </cell>
          <cell r="D193">
            <v>3</v>
          </cell>
          <cell r="E193" t="str">
            <v>-</v>
          </cell>
          <cell r="L193">
            <v>12527</v>
          </cell>
          <cell r="U193">
            <v>14442.724929283351</v>
          </cell>
        </row>
        <row r="194">
          <cell r="A194">
            <v>43650</v>
          </cell>
          <cell r="B194" t="str">
            <v>Kw 27</v>
          </cell>
          <cell r="C194">
            <v>7</v>
          </cell>
          <cell r="D194">
            <v>4</v>
          </cell>
          <cell r="E194" t="str">
            <v>-</v>
          </cell>
          <cell r="L194">
            <v>12527</v>
          </cell>
          <cell r="U194">
            <v>14442.724929283351</v>
          </cell>
        </row>
        <row r="195">
          <cell r="A195">
            <v>43651</v>
          </cell>
          <cell r="B195" t="str">
            <v>Kw 27</v>
          </cell>
          <cell r="C195">
            <v>7</v>
          </cell>
          <cell r="D195">
            <v>5</v>
          </cell>
          <cell r="E195" t="str">
            <v>-</v>
          </cell>
          <cell r="L195">
            <v>12527</v>
          </cell>
          <cell r="U195">
            <v>14442.724929283351</v>
          </cell>
        </row>
        <row r="196">
          <cell r="A196">
            <v>43652</v>
          </cell>
          <cell r="B196" t="str">
            <v>Kw 27</v>
          </cell>
          <cell r="C196">
            <v>7</v>
          </cell>
          <cell r="D196">
            <v>6</v>
          </cell>
          <cell r="E196" t="str">
            <v>-</v>
          </cell>
          <cell r="L196">
            <v>8017.28</v>
          </cell>
          <cell r="U196">
            <v>0</v>
          </cell>
        </row>
        <row r="197">
          <cell r="A197">
            <v>43653</v>
          </cell>
          <cell r="B197" t="str">
            <v>Kw 27</v>
          </cell>
          <cell r="C197">
            <v>7</v>
          </cell>
          <cell r="D197">
            <v>7</v>
          </cell>
          <cell r="E197" t="str">
            <v>-</v>
          </cell>
          <cell r="L197">
            <v>6012.96</v>
          </cell>
          <cell r="U197">
            <v>0</v>
          </cell>
        </row>
        <row r="198">
          <cell r="A198">
            <v>43654</v>
          </cell>
          <cell r="B198" t="str">
            <v>Kw 28</v>
          </cell>
          <cell r="C198">
            <v>7</v>
          </cell>
          <cell r="D198">
            <v>1</v>
          </cell>
          <cell r="E198" t="str">
            <v>-</v>
          </cell>
          <cell r="L198">
            <v>10021.6</v>
          </cell>
          <cell r="U198">
            <v>9175.3781903682502</v>
          </cell>
        </row>
        <row r="199">
          <cell r="A199">
            <v>43655</v>
          </cell>
          <cell r="B199" t="str">
            <v>Kw 28</v>
          </cell>
          <cell r="C199">
            <v>7</v>
          </cell>
          <cell r="D199">
            <v>2</v>
          </cell>
          <cell r="E199" t="str">
            <v>-</v>
          </cell>
          <cell r="L199">
            <v>12527</v>
          </cell>
          <cell r="U199">
            <v>14442.724929283351</v>
          </cell>
        </row>
        <row r="200">
          <cell r="A200">
            <v>43656</v>
          </cell>
          <cell r="B200" t="str">
            <v>Kw 28</v>
          </cell>
          <cell r="C200">
            <v>7</v>
          </cell>
          <cell r="D200">
            <v>3</v>
          </cell>
          <cell r="E200" t="str">
            <v>-</v>
          </cell>
          <cell r="L200">
            <v>12527</v>
          </cell>
          <cell r="U200">
            <v>14442.724929283351</v>
          </cell>
        </row>
        <row r="201">
          <cell r="A201">
            <v>43657</v>
          </cell>
          <cell r="B201" t="str">
            <v>Kw 28</v>
          </cell>
          <cell r="C201">
            <v>7</v>
          </cell>
          <cell r="D201">
            <v>4</v>
          </cell>
          <cell r="E201" t="str">
            <v>-</v>
          </cell>
          <cell r="L201">
            <v>12527</v>
          </cell>
          <cell r="U201">
            <v>14442.724929283351</v>
          </cell>
        </row>
        <row r="202">
          <cell r="A202">
            <v>43658</v>
          </cell>
          <cell r="B202" t="str">
            <v>Kw 28</v>
          </cell>
          <cell r="C202">
            <v>7</v>
          </cell>
          <cell r="D202">
            <v>5</v>
          </cell>
          <cell r="E202" t="str">
            <v>-</v>
          </cell>
          <cell r="L202">
            <v>12527</v>
          </cell>
          <cell r="U202">
            <v>14442.724929283351</v>
          </cell>
        </row>
        <row r="203">
          <cell r="A203">
            <v>43659</v>
          </cell>
          <cell r="B203" t="str">
            <v>Kw 28</v>
          </cell>
          <cell r="C203">
            <v>7</v>
          </cell>
          <cell r="D203">
            <v>6</v>
          </cell>
          <cell r="E203" t="str">
            <v>-</v>
          </cell>
          <cell r="L203">
            <v>8017.28</v>
          </cell>
          <cell r="U203">
            <v>0</v>
          </cell>
        </row>
        <row r="204">
          <cell r="A204">
            <v>43660</v>
          </cell>
          <cell r="B204" t="str">
            <v>Kw 28</v>
          </cell>
          <cell r="C204">
            <v>7</v>
          </cell>
          <cell r="D204">
            <v>7</v>
          </cell>
          <cell r="E204" t="str">
            <v>-</v>
          </cell>
          <cell r="L204">
            <v>6012.96</v>
          </cell>
          <cell r="U204">
            <v>0</v>
          </cell>
        </row>
        <row r="205">
          <cell r="A205">
            <v>43661</v>
          </cell>
          <cell r="B205" t="str">
            <v>Kw 29</v>
          </cell>
          <cell r="C205">
            <v>7</v>
          </cell>
          <cell r="D205">
            <v>1</v>
          </cell>
          <cell r="E205" t="str">
            <v>-</v>
          </cell>
          <cell r="L205">
            <v>10021.6</v>
          </cell>
          <cell r="U205">
            <v>9175.3781903682502</v>
          </cell>
        </row>
        <row r="206">
          <cell r="A206">
            <v>43662</v>
          </cell>
          <cell r="B206" t="str">
            <v>Kw 29</v>
          </cell>
          <cell r="C206">
            <v>7</v>
          </cell>
          <cell r="D206">
            <v>2</v>
          </cell>
          <cell r="E206" t="str">
            <v>-</v>
          </cell>
          <cell r="L206">
            <v>12527</v>
          </cell>
          <cell r="U206">
            <v>14442.724929283351</v>
          </cell>
        </row>
        <row r="207">
          <cell r="A207">
            <v>43663</v>
          </cell>
          <cell r="B207" t="str">
            <v>Kw 29</v>
          </cell>
          <cell r="C207">
            <v>7</v>
          </cell>
          <cell r="D207">
            <v>3</v>
          </cell>
          <cell r="E207" t="str">
            <v>-</v>
          </cell>
          <cell r="L207">
            <v>12527</v>
          </cell>
          <cell r="U207">
            <v>14442.724929283351</v>
          </cell>
        </row>
        <row r="208">
          <cell r="A208">
            <v>43664</v>
          </cell>
          <cell r="B208" t="str">
            <v>Kw 29</v>
          </cell>
          <cell r="C208">
            <v>7</v>
          </cell>
          <cell r="D208">
            <v>4</v>
          </cell>
          <cell r="E208" t="str">
            <v>-</v>
          </cell>
          <cell r="L208">
            <v>12527</v>
          </cell>
          <cell r="U208">
            <v>14442.724929283351</v>
          </cell>
        </row>
        <row r="209">
          <cell r="A209">
            <v>43665</v>
          </cell>
          <cell r="B209" t="str">
            <v>Kw 29</v>
          </cell>
          <cell r="C209">
            <v>7</v>
          </cell>
          <cell r="D209">
            <v>5</v>
          </cell>
          <cell r="E209" t="str">
            <v>-</v>
          </cell>
          <cell r="L209">
            <v>12527</v>
          </cell>
          <cell r="U209">
            <v>14442.724929283351</v>
          </cell>
        </row>
        <row r="210">
          <cell r="A210">
            <v>43666</v>
          </cell>
          <cell r="B210" t="str">
            <v>Kw 29</v>
          </cell>
          <cell r="C210">
            <v>7</v>
          </cell>
          <cell r="D210">
            <v>6</v>
          </cell>
          <cell r="E210" t="str">
            <v>-</v>
          </cell>
          <cell r="L210">
            <v>8017.28</v>
          </cell>
          <cell r="U210">
            <v>0</v>
          </cell>
        </row>
        <row r="211">
          <cell r="A211">
            <v>43667</v>
          </cell>
          <cell r="B211" t="str">
            <v>Kw 29</v>
          </cell>
          <cell r="C211">
            <v>7</v>
          </cell>
          <cell r="D211">
            <v>7</v>
          </cell>
          <cell r="E211" t="str">
            <v>-</v>
          </cell>
          <cell r="L211">
            <v>6012.96</v>
          </cell>
          <cell r="U211">
            <v>0</v>
          </cell>
        </row>
        <row r="212">
          <cell r="A212">
            <v>43668</v>
          </cell>
          <cell r="B212" t="str">
            <v>Kw 30</v>
          </cell>
          <cell r="C212">
            <v>7</v>
          </cell>
          <cell r="D212">
            <v>1</v>
          </cell>
          <cell r="E212" t="str">
            <v>-</v>
          </cell>
          <cell r="L212">
            <v>10021.6</v>
          </cell>
          <cell r="U212">
            <v>9175.3781903682502</v>
          </cell>
        </row>
        <row r="213">
          <cell r="A213">
            <v>43669</v>
          </cell>
          <cell r="B213" t="str">
            <v>Kw 30</v>
          </cell>
          <cell r="C213">
            <v>7</v>
          </cell>
          <cell r="D213">
            <v>2</v>
          </cell>
          <cell r="E213" t="str">
            <v>-</v>
          </cell>
          <cell r="L213">
            <v>12527</v>
          </cell>
          <cell r="U213">
            <v>14442.724929283351</v>
          </cell>
        </row>
        <row r="214">
          <cell r="A214">
            <v>43670</v>
          </cell>
          <cell r="B214" t="str">
            <v>Kw 30</v>
          </cell>
          <cell r="C214">
            <v>7</v>
          </cell>
          <cell r="D214">
            <v>3</v>
          </cell>
          <cell r="E214" t="str">
            <v>-</v>
          </cell>
          <cell r="L214">
            <v>12527</v>
          </cell>
          <cell r="U214">
            <v>14442.724929283351</v>
          </cell>
        </row>
        <row r="215">
          <cell r="A215">
            <v>43671</v>
          </cell>
          <cell r="B215" t="str">
            <v>Kw 30</v>
          </cell>
          <cell r="C215">
            <v>7</v>
          </cell>
          <cell r="D215">
            <v>4</v>
          </cell>
          <cell r="E215" t="str">
            <v>-</v>
          </cell>
          <cell r="L215">
            <v>12527</v>
          </cell>
          <cell r="U215">
            <v>14442.724929283351</v>
          </cell>
        </row>
        <row r="216">
          <cell r="A216">
            <v>43672</v>
          </cell>
          <cell r="B216" t="str">
            <v>Kw 30</v>
          </cell>
          <cell r="C216">
            <v>7</v>
          </cell>
          <cell r="D216">
            <v>5</v>
          </cell>
          <cell r="E216" t="str">
            <v>-</v>
          </cell>
          <cell r="L216">
            <v>12527</v>
          </cell>
          <cell r="U216">
            <v>14442.724929283351</v>
          </cell>
        </row>
        <row r="217">
          <cell r="A217">
            <v>43673</v>
          </cell>
          <cell r="B217" t="str">
            <v>Kw 30</v>
          </cell>
          <cell r="C217">
            <v>7</v>
          </cell>
          <cell r="D217">
            <v>6</v>
          </cell>
          <cell r="E217" t="str">
            <v>-</v>
          </cell>
          <cell r="L217">
            <v>8017.28</v>
          </cell>
          <cell r="U217">
            <v>0</v>
          </cell>
        </row>
        <row r="218">
          <cell r="A218">
            <v>43674</v>
          </cell>
          <cell r="B218" t="str">
            <v>Kw 30</v>
          </cell>
          <cell r="C218">
            <v>7</v>
          </cell>
          <cell r="D218">
            <v>7</v>
          </cell>
          <cell r="E218" t="str">
            <v>-</v>
          </cell>
          <cell r="L218">
            <v>6012.96</v>
          </cell>
          <cell r="U218">
            <v>0</v>
          </cell>
        </row>
        <row r="219">
          <cell r="A219">
            <v>43675</v>
          </cell>
          <cell r="B219" t="str">
            <v>Kw 31</v>
          </cell>
          <cell r="C219">
            <v>7</v>
          </cell>
          <cell r="D219">
            <v>1</v>
          </cell>
          <cell r="E219" t="str">
            <v>-</v>
          </cell>
          <cell r="L219">
            <v>10021.6</v>
          </cell>
          <cell r="U219">
            <v>9175.3781903682502</v>
          </cell>
        </row>
        <row r="220">
          <cell r="A220">
            <v>43676</v>
          </cell>
          <cell r="B220" t="str">
            <v>Kw 31</v>
          </cell>
          <cell r="C220">
            <v>7</v>
          </cell>
          <cell r="D220">
            <v>2</v>
          </cell>
          <cell r="E220" t="str">
            <v>-</v>
          </cell>
          <cell r="L220">
            <v>12527</v>
          </cell>
          <cell r="U220">
            <v>14442.724929283351</v>
          </cell>
        </row>
        <row r="221">
          <cell r="A221">
            <v>43677</v>
          </cell>
          <cell r="B221" t="str">
            <v>Kw 31</v>
          </cell>
          <cell r="C221">
            <v>7</v>
          </cell>
          <cell r="D221">
            <v>3</v>
          </cell>
          <cell r="E221" t="str">
            <v>-</v>
          </cell>
          <cell r="L221">
            <v>12527</v>
          </cell>
          <cell r="U221">
            <v>14442.724929283351</v>
          </cell>
        </row>
        <row r="222">
          <cell r="A222">
            <v>43678</v>
          </cell>
          <cell r="B222" t="str">
            <v>Kw 31</v>
          </cell>
          <cell r="C222">
            <v>8</v>
          </cell>
          <cell r="D222">
            <v>4</v>
          </cell>
          <cell r="E222" t="str">
            <v>-</v>
          </cell>
          <cell r="L222">
            <v>12527</v>
          </cell>
          <cell r="U222">
            <v>13923.137731597995</v>
          </cell>
        </row>
        <row r="223">
          <cell r="A223">
            <v>43679</v>
          </cell>
          <cell r="B223" t="str">
            <v>Kw 31</v>
          </cell>
          <cell r="C223">
            <v>8</v>
          </cell>
          <cell r="D223">
            <v>5</v>
          </cell>
          <cell r="E223" t="str">
            <v>-</v>
          </cell>
          <cell r="L223">
            <v>12527</v>
          </cell>
          <cell r="U223">
            <v>13923.137731597995</v>
          </cell>
        </row>
        <row r="224">
          <cell r="A224">
            <v>43680</v>
          </cell>
          <cell r="B224" t="str">
            <v>Kw 31</v>
          </cell>
          <cell r="C224">
            <v>8</v>
          </cell>
          <cell r="D224">
            <v>6</v>
          </cell>
          <cell r="E224" t="str">
            <v>-</v>
          </cell>
          <cell r="L224">
            <v>8017.28</v>
          </cell>
          <cell r="U224">
            <v>0</v>
          </cell>
        </row>
        <row r="225">
          <cell r="A225">
            <v>43681</v>
          </cell>
          <cell r="B225" t="str">
            <v>Kw 31</v>
          </cell>
          <cell r="C225">
            <v>8</v>
          </cell>
          <cell r="D225">
            <v>7</v>
          </cell>
          <cell r="E225" t="str">
            <v>-</v>
          </cell>
          <cell r="L225">
            <v>6012.96</v>
          </cell>
          <cell r="U225">
            <v>0</v>
          </cell>
        </row>
        <row r="226">
          <cell r="A226">
            <v>43682</v>
          </cell>
          <cell r="B226" t="str">
            <v>Kw 32</v>
          </cell>
          <cell r="C226">
            <v>8</v>
          </cell>
          <cell r="D226">
            <v>1</v>
          </cell>
          <cell r="E226" t="str">
            <v>-</v>
          </cell>
          <cell r="L226">
            <v>10021.6</v>
          </cell>
          <cell r="U226">
            <v>11056.609375092527</v>
          </cell>
        </row>
        <row r="227">
          <cell r="A227">
            <v>43683</v>
          </cell>
          <cell r="B227" t="str">
            <v>Kw 32</v>
          </cell>
          <cell r="C227">
            <v>8</v>
          </cell>
          <cell r="D227">
            <v>2</v>
          </cell>
          <cell r="E227" t="str">
            <v>-</v>
          </cell>
          <cell r="L227">
            <v>12527</v>
          </cell>
          <cell r="U227">
            <v>13923.137731597995</v>
          </cell>
        </row>
        <row r="228">
          <cell r="A228">
            <v>43684</v>
          </cell>
          <cell r="B228" t="str">
            <v>Kw 32</v>
          </cell>
          <cell r="C228">
            <v>8</v>
          </cell>
          <cell r="D228">
            <v>3</v>
          </cell>
          <cell r="E228" t="str">
            <v>-</v>
          </cell>
          <cell r="L228">
            <v>12527</v>
          </cell>
          <cell r="U228">
            <v>13923.137731597995</v>
          </cell>
        </row>
        <row r="229">
          <cell r="A229">
            <v>43685</v>
          </cell>
          <cell r="B229" t="str">
            <v>Kw 32</v>
          </cell>
          <cell r="C229">
            <v>8</v>
          </cell>
          <cell r="D229">
            <v>4</v>
          </cell>
          <cell r="E229" t="str">
            <v>-</v>
          </cell>
          <cell r="L229">
            <v>12527</v>
          </cell>
          <cell r="U229">
            <v>13923.137731597995</v>
          </cell>
        </row>
        <row r="230">
          <cell r="A230">
            <v>43686</v>
          </cell>
          <cell r="B230" t="str">
            <v>Kw 32</v>
          </cell>
          <cell r="C230">
            <v>8</v>
          </cell>
          <cell r="D230">
            <v>5</v>
          </cell>
          <cell r="E230" t="str">
            <v>-</v>
          </cell>
          <cell r="L230">
            <v>12527</v>
          </cell>
          <cell r="U230">
            <v>13923.137731597995</v>
          </cell>
        </row>
        <row r="231">
          <cell r="A231">
            <v>43687</v>
          </cell>
          <cell r="B231" t="str">
            <v>Kw 32</v>
          </cell>
          <cell r="C231">
            <v>8</v>
          </cell>
          <cell r="D231">
            <v>6</v>
          </cell>
          <cell r="E231" t="str">
            <v>-</v>
          </cell>
          <cell r="L231">
            <v>8017.28</v>
          </cell>
          <cell r="U231">
            <v>0</v>
          </cell>
        </row>
        <row r="232">
          <cell r="A232">
            <v>43688</v>
          </cell>
          <cell r="B232" t="str">
            <v>Kw 32</v>
          </cell>
          <cell r="C232">
            <v>8</v>
          </cell>
          <cell r="D232">
            <v>7</v>
          </cell>
          <cell r="E232" t="str">
            <v>-</v>
          </cell>
          <cell r="L232">
            <v>6012.96</v>
          </cell>
          <cell r="U232">
            <v>0</v>
          </cell>
        </row>
        <row r="233">
          <cell r="A233">
            <v>43689</v>
          </cell>
          <cell r="B233" t="str">
            <v>Kw 33</v>
          </cell>
          <cell r="C233">
            <v>8</v>
          </cell>
          <cell r="D233">
            <v>1</v>
          </cell>
          <cell r="E233" t="str">
            <v>-</v>
          </cell>
          <cell r="L233">
            <v>10021.6</v>
          </cell>
          <cell r="U233">
            <v>11056.609375092527</v>
          </cell>
        </row>
        <row r="234">
          <cell r="A234">
            <v>43690</v>
          </cell>
          <cell r="B234" t="str">
            <v>Kw 33</v>
          </cell>
          <cell r="C234">
            <v>8</v>
          </cell>
          <cell r="D234">
            <v>2</v>
          </cell>
          <cell r="E234" t="str">
            <v>-</v>
          </cell>
          <cell r="L234">
            <v>12527</v>
          </cell>
          <cell r="U234">
            <v>13923.137731597995</v>
          </cell>
        </row>
        <row r="235">
          <cell r="A235">
            <v>43691</v>
          </cell>
          <cell r="B235" t="str">
            <v>Kw 33</v>
          </cell>
          <cell r="C235">
            <v>8</v>
          </cell>
          <cell r="D235">
            <v>3</v>
          </cell>
          <cell r="E235" t="str">
            <v>-</v>
          </cell>
          <cell r="L235">
            <v>12527</v>
          </cell>
          <cell r="U235">
            <v>13923.137731597995</v>
          </cell>
        </row>
        <row r="236">
          <cell r="A236">
            <v>43692</v>
          </cell>
          <cell r="B236" t="str">
            <v>Kw 33</v>
          </cell>
          <cell r="C236">
            <v>8</v>
          </cell>
          <cell r="D236">
            <v>4</v>
          </cell>
          <cell r="E236" t="str">
            <v>Mariä Himmelfahrt </v>
          </cell>
          <cell r="L236">
            <v>8017.28</v>
          </cell>
          <cell r="U236">
            <v>13923.137731597995</v>
          </cell>
        </row>
        <row r="237">
          <cell r="A237">
            <v>43693</v>
          </cell>
          <cell r="B237" t="str">
            <v>Kw 33</v>
          </cell>
          <cell r="C237">
            <v>8</v>
          </cell>
          <cell r="D237">
            <v>5</v>
          </cell>
          <cell r="E237" t="str">
            <v>-</v>
          </cell>
          <cell r="L237">
            <v>12527</v>
          </cell>
          <cell r="U237">
            <v>13923.137731597995</v>
          </cell>
        </row>
        <row r="238">
          <cell r="A238">
            <v>43694</v>
          </cell>
          <cell r="B238" t="str">
            <v>Kw 33</v>
          </cell>
          <cell r="C238">
            <v>8</v>
          </cell>
          <cell r="D238">
            <v>6</v>
          </cell>
          <cell r="E238" t="str">
            <v>-</v>
          </cell>
          <cell r="L238">
            <v>8017.28</v>
          </cell>
          <cell r="U238">
            <v>0</v>
          </cell>
        </row>
        <row r="239">
          <cell r="A239">
            <v>43695</v>
          </cell>
          <cell r="B239" t="str">
            <v>Kw 33</v>
          </cell>
          <cell r="C239">
            <v>8</v>
          </cell>
          <cell r="D239">
            <v>7</v>
          </cell>
          <cell r="E239" t="str">
            <v>-</v>
          </cell>
          <cell r="L239">
            <v>6012.96</v>
          </cell>
          <cell r="U239">
            <v>0</v>
          </cell>
        </row>
        <row r="240">
          <cell r="A240">
            <v>43696</v>
          </cell>
          <cell r="B240" t="str">
            <v>Kw 34</v>
          </cell>
          <cell r="C240">
            <v>8</v>
          </cell>
          <cell r="D240">
            <v>1</v>
          </cell>
          <cell r="E240" t="str">
            <v>-</v>
          </cell>
          <cell r="L240">
            <v>10021.6</v>
          </cell>
          <cell r="U240">
            <v>11056.609375092527</v>
          </cell>
        </row>
        <row r="241">
          <cell r="A241">
            <v>43697</v>
          </cell>
          <cell r="B241" t="str">
            <v>Kw 34</v>
          </cell>
          <cell r="C241">
            <v>8</v>
          </cell>
          <cell r="D241">
            <v>2</v>
          </cell>
          <cell r="E241" t="str">
            <v>-</v>
          </cell>
          <cell r="L241">
            <v>12527</v>
          </cell>
          <cell r="U241">
            <v>13923.137731597995</v>
          </cell>
        </row>
        <row r="242">
          <cell r="A242">
            <v>43698</v>
          </cell>
          <cell r="B242" t="str">
            <v>Kw 34</v>
          </cell>
          <cell r="C242">
            <v>8</v>
          </cell>
          <cell r="D242">
            <v>3</v>
          </cell>
          <cell r="E242" t="str">
            <v>-</v>
          </cell>
          <cell r="L242">
            <v>12527</v>
          </cell>
          <cell r="U242">
            <v>13923.137731597995</v>
          </cell>
        </row>
        <row r="243">
          <cell r="A243">
            <v>43699</v>
          </cell>
          <cell r="B243" t="str">
            <v>Kw 34</v>
          </cell>
          <cell r="C243">
            <v>8</v>
          </cell>
          <cell r="D243">
            <v>4</v>
          </cell>
          <cell r="E243" t="str">
            <v>-</v>
          </cell>
          <cell r="L243">
            <v>12527</v>
          </cell>
          <cell r="U243">
            <v>13923.137731597995</v>
          </cell>
        </row>
        <row r="244">
          <cell r="A244">
            <v>43700</v>
          </cell>
          <cell r="B244" t="str">
            <v>Kw 34</v>
          </cell>
          <cell r="C244">
            <v>8</v>
          </cell>
          <cell r="D244">
            <v>5</v>
          </cell>
          <cell r="E244" t="str">
            <v>-</v>
          </cell>
          <cell r="L244">
            <v>12527</v>
          </cell>
          <cell r="U244">
            <v>13923.137731597995</v>
          </cell>
        </row>
        <row r="245">
          <cell r="A245">
            <v>43701</v>
          </cell>
          <cell r="B245" t="str">
            <v>Kw 34</v>
          </cell>
          <cell r="C245">
            <v>8</v>
          </cell>
          <cell r="D245">
            <v>6</v>
          </cell>
          <cell r="E245" t="str">
            <v>-</v>
          </cell>
          <cell r="L245">
            <v>8017.28</v>
          </cell>
          <cell r="U245">
            <v>0</v>
          </cell>
        </row>
        <row r="246">
          <cell r="A246">
            <v>43702</v>
          </cell>
          <cell r="B246" t="str">
            <v>Kw 34</v>
          </cell>
          <cell r="C246">
            <v>8</v>
          </cell>
          <cell r="D246">
            <v>7</v>
          </cell>
          <cell r="E246" t="str">
            <v>-</v>
          </cell>
          <cell r="L246">
            <v>6012.96</v>
          </cell>
          <cell r="U246">
            <v>0</v>
          </cell>
        </row>
        <row r="247">
          <cell r="A247">
            <v>43703</v>
          </cell>
          <cell r="B247" t="str">
            <v>Kw 35</v>
          </cell>
          <cell r="C247">
            <v>8</v>
          </cell>
          <cell r="D247">
            <v>1</v>
          </cell>
          <cell r="E247" t="str">
            <v>-</v>
          </cell>
          <cell r="L247">
            <v>10021.6</v>
          </cell>
          <cell r="U247">
            <v>11056.609375092527</v>
          </cell>
        </row>
        <row r="248">
          <cell r="A248">
            <v>43704</v>
          </cell>
          <cell r="B248" t="str">
            <v>Kw 35</v>
          </cell>
          <cell r="C248">
            <v>8</v>
          </cell>
          <cell r="D248">
            <v>2</v>
          </cell>
          <cell r="E248" t="str">
            <v>-</v>
          </cell>
          <cell r="L248">
            <v>12527</v>
          </cell>
          <cell r="U248">
            <v>13923.137731597995</v>
          </cell>
        </row>
        <row r="249">
          <cell r="A249">
            <v>43705</v>
          </cell>
          <cell r="B249" t="str">
            <v>Kw 35</v>
          </cell>
          <cell r="C249">
            <v>8</v>
          </cell>
          <cell r="D249">
            <v>3</v>
          </cell>
          <cell r="E249" t="str">
            <v>-</v>
          </cell>
          <cell r="L249">
            <v>12527</v>
          </cell>
          <cell r="U249">
            <v>13923.137731597995</v>
          </cell>
        </row>
        <row r="250">
          <cell r="A250">
            <v>43706</v>
          </cell>
          <cell r="B250" t="str">
            <v>Kw 35</v>
          </cell>
          <cell r="C250">
            <v>8</v>
          </cell>
          <cell r="D250">
            <v>4</v>
          </cell>
          <cell r="E250" t="str">
            <v>-</v>
          </cell>
          <cell r="L250">
            <v>12527</v>
          </cell>
          <cell r="U250">
            <v>13923.137731597995</v>
          </cell>
        </row>
        <row r="251">
          <cell r="A251">
            <v>43707</v>
          </cell>
          <cell r="B251" t="str">
            <v>Kw 35</v>
          </cell>
          <cell r="C251">
            <v>8</v>
          </cell>
          <cell r="D251">
            <v>5</v>
          </cell>
          <cell r="E251" t="str">
            <v>-</v>
          </cell>
          <cell r="L251">
            <v>12527</v>
          </cell>
          <cell r="U251">
            <v>13923.137731597995</v>
          </cell>
        </row>
        <row r="252">
          <cell r="A252">
            <v>43708</v>
          </cell>
          <cell r="B252" t="str">
            <v>Kw 35</v>
          </cell>
          <cell r="C252">
            <v>8</v>
          </cell>
          <cell r="D252">
            <v>6</v>
          </cell>
          <cell r="E252" t="str">
            <v>-</v>
          </cell>
          <cell r="L252">
            <v>8017.28</v>
          </cell>
          <cell r="U252">
            <v>0</v>
          </cell>
        </row>
        <row r="253">
          <cell r="A253">
            <v>43709</v>
          </cell>
          <cell r="B253" t="str">
            <v>Kw 35</v>
          </cell>
          <cell r="C253">
            <v>9</v>
          </cell>
          <cell r="D253">
            <v>7</v>
          </cell>
          <cell r="E253" t="str">
            <v>-</v>
          </cell>
          <cell r="L253">
            <v>6012.96</v>
          </cell>
          <cell r="U253">
            <v>0</v>
          </cell>
        </row>
        <row r="254">
          <cell r="A254">
            <v>43710</v>
          </cell>
          <cell r="B254" t="str">
            <v>Kw 36</v>
          </cell>
          <cell r="C254">
            <v>9</v>
          </cell>
          <cell r="D254">
            <v>1</v>
          </cell>
          <cell r="E254" t="str">
            <v>-</v>
          </cell>
          <cell r="L254">
            <v>10021.6</v>
          </cell>
          <cell r="U254">
            <v>8547.9437142024453</v>
          </cell>
        </row>
        <row r="255">
          <cell r="A255">
            <v>43711</v>
          </cell>
          <cell r="B255" t="str">
            <v>Kw 36</v>
          </cell>
          <cell r="C255">
            <v>9</v>
          </cell>
          <cell r="D255">
            <v>2</v>
          </cell>
          <cell r="E255" t="str">
            <v>-</v>
          </cell>
          <cell r="L255">
            <v>12527</v>
          </cell>
          <cell r="U255">
            <v>15136.983660566828</v>
          </cell>
        </row>
        <row r="256">
          <cell r="A256">
            <v>43712</v>
          </cell>
          <cell r="B256" t="str">
            <v>Kw 36</v>
          </cell>
          <cell r="C256">
            <v>9</v>
          </cell>
          <cell r="D256">
            <v>3</v>
          </cell>
          <cell r="E256" t="str">
            <v>-</v>
          </cell>
          <cell r="L256">
            <v>12527</v>
          </cell>
          <cell r="U256">
            <v>15136.983660566828</v>
          </cell>
        </row>
        <row r="257">
          <cell r="A257">
            <v>43713</v>
          </cell>
          <cell r="B257" t="str">
            <v>Kw 36</v>
          </cell>
          <cell r="C257">
            <v>9</v>
          </cell>
          <cell r="D257">
            <v>4</v>
          </cell>
          <cell r="E257" t="str">
            <v>-</v>
          </cell>
          <cell r="L257">
            <v>12527</v>
          </cell>
          <cell r="U257">
            <v>15136.983660566828</v>
          </cell>
        </row>
        <row r="258">
          <cell r="A258">
            <v>43714</v>
          </cell>
          <cell r="B258" t="str">
            <v>Kw 36</v>
          </cell>
          <cell r="C258">
            <v>9</v>
          </cell>
          <cell r="D258">
            <v>5</v>
          </cell>
          <cell r="E258" t="str">
            <v>-</v>
          </cell>
          <cell r="L258">
            <v>12527</v>
          </cell>
          <cell r="U258">
            <v>15136.983660566828</v>
          </cell>
        </row>
        <row r="259">
          <cell r="A259">
            <v>43715</v>
          </cell>
          <cell r="B259" t="str">
            <v>Kw 36</v>
          </cell>
          <cell r="C259">
            <v>9</v>
          </cell>
          <cell r="D259">
            <v>6</v>
          </cell>
          <cell r="E259" t="str">
            <v>-</v>
          </cell>
          <cell r="L259">
            <v>8017.28</v>
          </cell>
          <cell r="U259">
            <v>0</v>
          </cell>
        </row>
        <row r="260">
          <cell r="A260">
            <v>43716</v>
          </cell>
          <cell r="B260" t="str">
            <v>Kw 36</v>
          </cell>
          <cell r="C260">
            <v>9</v>
          </cell>
          <cell r="D260">
            <v>7</v>
          </cell>
          <cell r="E260" t="str">
            <v>-</v>
          </cell>
          <cell r="L260">
            <v>6012.96</v>
          </cell>
          <cell r="U260">
            <v>0</v>
          </cell>
        </row>
        <row r="261">
          <cell r="A261">
            <v>43717</v>
          </cell>
          <cell r="B261" t="str">
            <v>Kw 37</v>
          </cell>
          <cell r="C261">
            <v>9</v>
          </cell>
          <cell r="D261">
            <v>1</v>
          </cell>
          <cell r="E261" t="str">
            <v>-</v>
          </cell>
          <cell r="L261">
            <v>10021.6</v>
          </cell>
          <cell r="U261">
            <v>8547.9437142024453</v>
          </cell>
        </row>
        <row r="262">
          <cell r="A262">
            <v>43718</v>
          </cell>
          <cell r="B262" t="str">
            <v>Kw 37</v>
          </cell>
          <cell r="C262">
            <v>9</v>
          </cell>
          <cell r="D262">
            <v>2</v>
          </cell>
          <cell r="E262" t="str">
            <v>-</v>
          </cell>
          <cell r="L262">
            <v>12527</v>
          </cell>
          <cell r="U262">
            <v>15136.983660566828</v>
          </cell>
        </row>
        <row r="263">
          <cell r="A263">
            <v>43719</v>
          </cell>
          <cell r="B263" t="str">
            <v>Kw 37</v>
          </cell>
          <cell r="C263">
            <v>9</v>
          </cell>
          <cell r="D263">
            <v>3</v>
          </cell>
          <cell r="E263" t="str">
            <v>-</v>
          </cell>
          <cell r="L263">
            <v>12527</v>
          </cell>
          <cell r="U263">
            <v>15136.983660566828</v>
          </cell>
        </row>
        <row r="264">
          <cell r="A264">
            <v>43720</v>
          </cell>
          <cell r="B264" t="str">
            <v>Kw 37</v>
          </cell>
          <cell r="C264">
            <v>9</v>
          </cell>
          <cell r="D264">
            <v>4</v>
          </cell>
          <cell r="E264" t="str">
            <v>-</v>
          </cell>
          <cell r="L264">
            <v>12527</v>
          </cell>
          <cell r="U264">
            <v>15136.983660566828</v>
          </cell>
        </row>
        <row r="265">
          <cell r="A265">
            <v>43721</v>
          </cell>
          <cell r="B265" t="str">
            <v>Kw 37</v>
          </cell>
          <cell r="C265">
            <v>9</v>
          </cell>
          <cell r="D265">
            <v>5</v>
          </cell>
          <cell r="E265" t="str">
            <v>-</v>
          </cell>
          <cell r="L265">
            <v>12527</v>
          </cell>
          <cell r="U265">
            <v>15136.983660566828</v>
          </cell>
        </row>
        <row r="266">
          <cell r="A266">
            <v>43722</v>
          </cell>
          <cell r="B266" t="str">
            <v>Kw 37</v>
          </cell>
          <cell r="C266">
            <v>9</v>
          </cell>
          <cell r="D266">
            <v>6</v>
          </cell>
          <cell r="E266" t="str">
            <v>-</v>
          </cell>
          <cell r="L266">
            <v>8017.28</v>
          </cell>
          <cell r="U266">
            <v>0</v>
          </cell>
        </row>
        <row r="267">
          <cell r="A267">
            <v>43723</v>
          </cell>
          <cell r="B267" t="str">
            <v>Kw 37</v>
          </cell>
          <cell r="C267">
            <v>9</v>
          </cell>
          <cell r="D267">
            <v>7</v>
          </cell>
          <cell r="E267" t="str">
            <v>-</v>
          </cell>
          <cell r="L267">
            <v>6012.96</v>
          </cell>
          <cell r="U267">
            <v>0</v>
          </cell>
        </row>
        <row r="268">
          <cell r="A268">
            <v>43724</v>
          </cell>
          <cell r="B268" t="str">
            <v>Kw 38</v>
          </cell>
          <cell r="C268">
            <v>9</v>
          </cell>
          <cell r="D268">
            <v>1</v>
          </cell>
          <cell r="E268" t="str">
            <v>-</v>
          </cell>
          <cell r="L268">
            <v>10021.6</v>
          </cell>
          <cell r="U268">
            <v>8547.9437142024453</v>
          </cell>
        </row>
        <row r="269">
          <cell r="A269">
            <v>43725</v>
          </cell>
          <cell r="B269" t="str">
            <v>Kw 38</v>
          </cell>
          <cell r="C269">
            <v>9</v>
          </cell>
          <cell r="D269">
            <v>2</v>
          </cell>
          <cell r="E269" t="str">
            <v>-</v>
          </cell>
          <cell r="L269">
            <v>12527</v>
          </cell>
          <cell r="U269">
            <v>15136.983660566828</v>
          </cell>
        </row>
        <row r="270">
          <cell r="A270">
            <v>43726</v>
          </cell>
          <cell r="B270" t="str">
            <v>Kw 38</v>
          </cell>
          <cell r="C270">
            <v>9</v>
          </cell>
          <cell r="D270">
            <v>3</v>
          </cell>
          <cell r="E270" t="str">
            <v>-</v>
          </cell>
          <cell r="L270">
            <v>12527</v>
          </cell>
          <cell r="U270">
            <v>15136.983660566828</v>
          </cell>
        </row>
        <row r="271">
          <cell r="A271">
            <v>43727</v>
          </cell>
          <cell r="B271" t="str">
            <v>Kw 38</v>
          </cell>
          <cell r="C271">
            <v>9</v>
          </cell>
          <cell r="D271">
            <v>4</v>
          </cell>
          <cell r="E271" t="str">
            <v>-</v>
          </cell>
          <cell r="L271">
            <v>12527</v>
          </cell>
          <cell r="U271">
            <v>15136.983660566828</v>
          </cell>
        </row>
        <row r="272">
          <cell r="A272">
            <v>43728</v>
          </cell>
          <cell r="B272" t="str">
            <v>Kw 38</v>
          </cell>
          <cell r="C272">
            <v>9</v>
          </cell>
          <cell r="D272">
            <v>5</v>
          </cell>
          <cell r="E272" t="str">
            <v>-</v>
          </cell>
          <cell r="L272">
            <v>12527</v>
          </cell>
          <cell r="U272">
            <v>15136.983660566828</v>
          </cell>
        </row>
        <row r="273">
          <cell r="A273">
            <v>43729</v>
          </cell>
          <cell r="B273" t="str">
            <v>Kw 38</v>
          </cell>
          <cell r="C273">
            <v>9</v>
          </cell>
          <cell r="D273">
            <v>6</v>
          </cell>
          <cell r="E273" t="str">
            <v>-</v>
          </cell>
          <cell r="L273">
            <v>8017.28</v>
          </cell>
          <cell r="U273">
            <v>0</v>
          </cell>
        </row>
        <row r="274">
          <cell r="A274">
            <v>43730</v>
          </cell>
          <cell r="B274" t="str">
            <v>Kw 38</v>
          </cell>
          <cell r="C274">
            <v>9</v>
          </cell>
          <cell r="D274">
            <v>7</v>
          </cell>
          <cell r="E274" t="str">
            <v>-</v>
          </cell>
          <cell r="L274">
            <v>6012.96</v>
          </cell>
          <cell r="U274">
            <v>0</v>
          </cell>
        </row>
        <row r="275">
          <cell r="A275">
            <v>43731</v>
          </cell>
          <cell r="B275" t="str">
            <v>Kw 39</v>
          </cell>
          <cell r="C275">
            <v>9</v>
          </cell>
          <cell r="D275">
            <v>1</v>
          </cell>
          <cell r="E275" t="str">
            <v>-</v>
          </cell>
          <cell r="L275">
            <v>10021.6</v>
          </cell>
          <cell r="U275">
            <v>8547.9437142024453</v>
          </cell>
        </row>
        <row r="276">
          <cell r="A276">
            <v>43732</v>
          </cell>
          <cell r="B276" t="str">
            <v>Kw 39</v>
          </cell>
          <cell r="C276">
            <v>9</v>
          </cell>
          <cell r="D276">
            <v>2</v>
          </cell>
          <cell r="E276" t="str">
            <v>-</v>
          </cell>
          <cell r="L276">
            <v>12527</v>
          </cell>
          <cell r="U276">
            <v>15136.983660566828</v>
          </cell>
        </row>
        <row r="277">
          <cell r="A277">
            <v>43733</v>
          </cell>
          <cell r="B277" t="str">
            <v>Kw 39</v>
          </cell>
          <cell r="C277">
            <v>9</v>
          </cell>
          <cell r="D277">
            <v>3</v>
          </cell>
          <cell r="E277" t="str">
            <v>-</v>
          </cell>
          <cell r="L277">
            <v>12527</v>
          </cell>
          <cell r="U277">
            <v>15136.983660566828</v>
          </cell>
        </row>
        <row r="278">
          <cell r="A278">
            <v>43734</v>
          </cell>
          <cell r="B278" t="str">
            <v>Kw 39</v>
          </cell>
          <cell r="C278">
            <v>9</v>
          </cell>
          <cell r="D278">
            <v>4</v>
          </cell>
          <cell r="E278" t="str">
            <v>-</v>
          </cell>
          <cell r="L278">
            <v>12527</v>
          </cell>
          <cell r="U278">
            <v>15136.983660566828</v>
          </cell>
        </row>
        <row r="279">
          <cell r="A279">
            <v>43735</v>
          </cell>
          <cell r="B279" t="str">
            <v>Kw 39</v>
          </cell>
          <cell r="C279">
            <v>9</v>
          </cell>
          <cell r="D279">
            <v>5</v>
          </cell>
          <cell r="E279" t="str">
            <v>-</v>
          </cell>
          <cell r="L279">
            <v>12527</v>
          </cell>
          <cell r="U279">
            <v>15136.983660566828</v>
          </cell>
        </row>
        <row r="280">
          <cell r="A280">
            <v>43736</v>
          </cell>
          <cell r="B280" t="str">
            <v>Kw 39</v>
          </cell>
          <cell r="C280">
            <v>9</v>
          </cell>
          <cell r="D280">
            <v>6</v>
          </cell>
          <cell r="E280" t="str">
            <v>-</v>
          </cell>
          <cell r="L280">
            <v>8017.28</v>
          </cell>
          <cell r="U280">
            <v>0</v>
          </cell>
        </row>
        <row r="281">
          <cell r="A281">
            <v>43737</v>
          </cell>
          <cell r="B281" t="str">
            <v>Kw 39</v>
          </cell>
          <cell r="C281">
            <v>9</v>
          </cell>
          <cell r="D281">
            <v>7</v>
          </cell>
          <cell r="E281" t="str">
            <v>-</v>
          </cell>
          <cell r="L281">
            <v>6012.96</v>
          </cell>
          <cell r="U281">
            <v>0</v>
          </cell>
        </row>
        <row r="282">
          <cell r="A282">
            <v>43738</v>
          </cell>
          <cell r="B282" t="str">
            <v>Kw 40</v>
          </cell>
          <cell r="C282">
            <v>9</v>
          </cell>
          <cell r="D282">
            <v>1</v>
          </cell>
          <cell r="E282" t="str">
            <v>-</v>
          </cell>
          <cell r="L282">
            <v>10021.6</v>
          </cell>
          <cell r="U282">
            <v>8547.9437142024453</v>
          </cell>
        </row>
        <row r="283">
          <cell r="A283">
            <v>43739</v>
          </cell>
          <cell r="B283" t="str">
            <v>Kw 40</v>
          </cell>
          <cell r="C283">
            <v>10</v>
          </cell>
          <cell r="D283">
            <v>2</v>
          </cell>
          <cell r="E283" t="str">
            <v>-</v>
          </cell>
          <cell r="L283">
            <v>12527</v>
          </cell>
          <cell r="U283">
            <v>11622.773155323541</v>
          </cell>
        </row>
        <row r="284">
          <cell r="A284">
            <v>43740</v>
          </cell>
          <cell r="B284" t="str">
            <v>Kw 40</v>
          </cell>
          <cell r="C284">
            <v>10</v>
          </cell>
          <cell r="D284">
            <v>3</v>
          </cell>
          <cell r="E284" t="str">
            <v>-</v>
          </cell>
          <cell r="L284">
            <v>12527</v>
          </cell>
          <cell r="U284">
            <v>11622.773155323541</v>
          </cell>
        </row>
        <row r="285">
          <cell r="A285">
            <v>43741</v>
          </cell>
          <cell r="B285" t="str">
            <v>Kw 40</v>
          </cell>
          <cell r="C285">
            <v>10</v>
          </cell>
          <cell r="D285">
            <v>4</v>
          </cell>
          <cell r="E285" t="str">
            <v>Tag der Deutschen Einheit</v>
          </cell>
          <cell r="L285">
            <v>8017.28</v>
          </cell>
          <cell r="U285">
            <v>11622.773155323541</v>
          </cell>
        </row>
        <row r="286">
          <cell r="A286">
            <v>43742</v>
          </cell>
          <cell r="B286" t="str">
            <v>Kw 40</v>
          </cell>
          <cell r="C286">
            <v>10</v>
          </cell>
          <cell r="D286">
            <v>5</v>
          </cell>
          <cell r="E286" t="str">
            <v>-</v>
          </cell>
          <cell r="L286">
            <v>12527</v>
          </cell>
          <cell r="U286">
            <v>11622.773155323541</v>
          </cell>
        </row>
        <row r="287">
          <cell r="A287">
            <v>43743</v>
          </cell>
          <cell r="B287" t="str">
            <v>Kw 40</v>
          </cell>
          <cell r="C287">
            <v>10</v>
          </cell>
          <cell r="D287">
            <v>6</v>
          </cell>
          <cell r="E287" t="str">
            <v>-</v>
          </cell>
          <cell r="L287">
            <v>8017.28</v>
          </cell>
          <cell r="U287">
            <v>0</v>
          </cell>
        </row>
        <row r="288">
          <cell r="A288">
            <v>43744</v>
          </cell>
          <cell r="B288" t="str">
            <v>Kw 40</v>
          </cell>
          <cell r="C288">
            <v>10</v>
          </cell>
          <cell r="D288">
            <v>7</v>
          </cell>
          <cell r="E288" t="str">
            <v>-</v>
          </cell>
          <cell r="L288">
            <v>6012.96</v>
          </cell>
          <cell r="U288">
            <v>0</v>
          </cell>
        </row>
        <row r="289">
          <cell r="A289">
            <v>43745</v>
          </cell>
          <cell r="B289" t="str">
            <v>Kw 41</v>
          </cell>
          <cell r="C289">
            <v>10</v>
          </cell>
          <cell r="D289">
            <v>1</v>
          </cell>
          <cell r="E289" t="str">
            <v>-</v>
          </cell>
          <cell r="L289">
            <v>10021.6</v>
          </cell>
          <cell r="U289">
            <v>9742.6186743153248</v>
          </cell>
        </row>
        <row r="290">
          <cell r="A290">
            <v>43746</v>
          </cell>
          <cell r="B290" t="str">
            <v>Kw 41</v>
          </cell>
          <cell r="C290">
            <v>10</v>
          </cell>
          <cell r="D290">
            <v>2</v>
          </cell>
          <cell r="E290" t="str">
            <v>-</v>
          </cell>
          <cell r="L290">
            <v>12527</v>
          </cell>
          <cell r="U290">
            <v>11622.773155323541</v>
          </cell>
        </row>
        <row r="291">
          <cell r="A291">
            <v>43747</v>
          </cell>
          <cell r="B291" t="str">
            <v>Kw 41</v>
          </cell>
          <cell r="C291">
            <v>10</v>
          </cell>
          <cell r="D291">
            <v>3</v>
          </cell>
          <cell r="E291" t="str">
            <v>-</v>
          </cell>
          <cell r="L291">
            <v>12527</v>
          </cell>
          <cell r="U291">
            <v>11622.773155323541</v>
          </cell>
        </row>
        <row r="292">
          <cell r="A292">
            <v>43748</v>
          </cell>
          <cell r="B292" t="str">
            <v>Kw 41</v>
          </cell>
          <cell r="C292">
            <v>10</v>
          </cell>
          <cell r="D292">
            <v>4</v>
          </cell>
          <cell r="E292" t="str">
            <v>-</v>
          </cell>
          <cell r="L292">
            <v>12527</v>
          </cell>
          <cell r="U292">
            <v>11622.773155323541</v>
          </cell>
        </row>
        <row r="293">
          <cell r="A293">
            <v>43749</v>
          </cell>
          <cell r="B293" t="str">
            <v>Kw 41</v>
          </cell>
          <cell r="C293">
            <v>10</v>
          </cell>
          <cell r="D293">
            <v>5</v>
          </cell>
          <cell r="E293" t="str">
            <v>-</v>
          </cell>
          <cell r="L293">
            <v>12527</v>
          </cell>
          <cell r="U293">
            <v>11622.773155323541</v>
          </cell>
        </row>
        <row r="294">
          <cell r="A294">
            <v>43750</v>
          </cell>
          <cell r="B294" t="str">
            <v>Kw 41</v>
          </cell>
          <cell r="C294">
            <v>10</v>
          </cell>
          <cell r="D294">
            <v>6</v>
          </cell>
          <cell r="E294" t="str">
            <v>-</v>
          </cell>
          <cell r="L294">
            <v>8017.28</v>
          </cell>
          <cell r="U294">
            <v>0</v>
          </cell>
        </row>
        <row r="295">
          <cell r="A295">
            <v>43751</v>
          </cell>
          <cell r="B295" t="str">
            <v>Kw 41</v>
          </cell>
          <cell r="C295">
            <v>10</v>
          </cell>
          <cell r="D295">
            <v>7</v>
          </cell>
          <cell r="E295" t="str">
            <v>-</v>
          </cell>
          <cell r="L295">
            <v>6012.96</v>
          </cell>
          <cell r="U295">
            <v>0</v>
          </cell>
        </row>
        <row r="296">
          <cell r="A296">
            <v>43752</v>
          </cell>
          <cell r="B296" t="str">
            <v>Kw 42</v>
          </cell>
          <cell r="C296">
            <v>10</v>
          </cell>
          <cell r="D296">
            <v>1</v>
          </cell>
          <cell r="E296" t="str">
            <v>-</v>
          </cell>
          <cell r="L296">
            <v>10021.6</v>
          </cell>
          <cell r="U296">
            <v>9742.6186743153248</v>
          </cell>
        </row>
        <row r="297">
          <cell r="A297">
            <v>43753</v>
          </cell>
          <cell r="B297" t="str">
            <v>Kw 42</v>
          </cell>
          <cell r="C297">
            <v>10</v>
          </cell>
          <cell r="D297">
            <v>2</v>
          </cell>
          <cell r="E297" t="str">
            <v>-</v>
          </cell>
          <cell r="L297">
            <v>12527</v>
          </cell>
          <cell r="U297">
            <v>11622.773155323541</v>
          </cell>
        </row>
        <row r="298">
          <cell r="A298">
            <v>43754</v>
          </cell>
          <cell r="B298" t="str">
            <v>Kw 42</v>
          </cell>
          <cell r="C298">
            <v>10</v>
          </cell>
          <cell r="D298">
            <v>3</v>
          </cell>
          <cell r="E298" t="str">
            <v>-</v>
          </cell>
          <cell r="L298">
            <v>12527</v>
          </cell>
          <cell r="U298">
            <v>11622.773155323541</v>
          </cell>
        </row>
        <row r="299">
          <cell r="A299">
            <v>43755</v>
          </cell>
          <cell r="B299" t="str">
            <v>Kw 42</v>
          </cell>
          <cell r="C299">
            <v>10</v>
          </cell>
          <cell r="D299">
            <v>4</v>
          </cell>
          <cell r="E299" t="str">
            <v>-</v>
          </cell>
          <cell r="L299">
            <v>12527</v>
          </cell>
          <cell r="U299">
            <v>11622.773155323541</v>
          </cell>
        </row>
        <row r="300">
          <cell r="A300">
            <v>43756</v>
          </cell>
          <cell r="B300" t="str">
            <v>Kw 42</v>
          </cell>
          <cell r="C300">
            <v>10</v>
          </cell>
          <cell r="D300">
            <v>5</v>
          </cell>
          <cell r="E300" t="str">
            <v>-</v>
          </cell>
          <cell r="L300">
            <v>12527</v>
          </cell>
          <cell r="U300">
            <v>11622.773155323541</v>
          </cell>
        </row>
        <row r="301">
          <cell r="A301">
            <v>43757</v>
          </cell>
          <cell r="B301" t="str">
            <v>Kw 42</v>
          </cell>
          <cell r="C301">
            <v>10</v>
          </cell>
          <cell r="D301">
            <v>6</v>
          </cell>
          <cell r="E301" t="str">
            <v>-</v>
          </cell>
          <cell r="L301">
            <v>8017.28</v>
          </cell>
          <cell r="U301">
            <v>0</v>
          </cell>
        </row>
        <row r="302">
          <cell r="A302">
            <v>43758</v>
          </cell>
          <cell r="B302" t="str">
            <v>Kw 42</v>
          </cell>
          <cell r="C302">
            <v>10</v>
          </cell>
          <cell r="D302">
            <v>7</v>
          </cell>
          <cell r="E302" t="str">
            <v>-</v>
          </cell>
          <cell r="L302">
            <v>6012.96</v>
          </cell>
          <cell r="U302">
            <v>0</v>
          </cell>
        </row>
        <row r="303">
          <cell r="A303">
            <v>43759</v>
          </cell>
          <cell r="B303" t="str">
            <v>Kw 43</v>
          </cell>
          <cell r="C303">
            <v>10</v>
          </cell>
          <cell r="D303">
            <v>1</v>
          </cell>
          <cell r="E303" t="str">
            <v>-</v>
          </cell>
          <cell r="L303">
            <v>10021.6</v>
          </cell>
          <cell r="U303">
            <v>9742.6186743153248</v>
          </cell>
        </row>
        <row r="304">
          <cell r="A304">
            <v>43760</v>
          </cell>
          <cell r="B304" t="str">
            <v>Kw 43</v>
          </cell>
          <cell r="C304">
            <v>10</v>
          </cell>
          <cell r="D304">
            <v>2</v>
          </cell>
          <cell r="E304" t="str">
            <v>-</v>
          </cell>
          <cell r="L304">
            <v>12527</v>
          </cell>
          <cell r="U304">
            <v>11622.773155323541</v>
          </cell>
        </row>
        <row r="305">
          <cell r="A305">
            <v>43761</v>
          </cell>
          <cell r="B305" t="str">
            <v>Kw 43</v>
          </cell>
          <cell r="C305">
            <v>10</v>
          </cell>
          <cell r="D305">
            <v>3</v>
          </cell>
          <cell r="E305" t="str">
            <v>-</v>
          </cell>
          <cell r="L305">
            <v>12527</v>
          </cell>
          <cell r="U305">
            <v>11622.773155323541</v>
          </cell>
        </row>
        <row r="306">
          <cell r="A306">
            <v>43762</v>
          </cell>
          <cell r="B306" t="str">
            <v>Kw 43</v>
          </cell>
          <cell r="C306">
            <v>10</v>
          </cell>
          <cell r="D306">
            <v>4</v>
          </cell>
          <cell r="E306" t="str">
            <v>-</v>
          </cell>
          <cell r="L306">
            <v>12527</v>
          </cell>
          <cell r="U306">
            <v>11622.773155323541</v>
          </cell>
        </row>
        <row r="307">
          <cell r="A307">
            <v>43763</v>
          </cell>
          <cell r="B307" t="str">
            <v>Kw 43</v>
          </cell>
          <cell r="C307">
            <v>10</v>
          </cell>
          <cell r="D307">
            <v>5</v>
          </cell>
          <cell r="E307" t="str">
            <v>-</v>
          </cell>
          <cell r="L307">
            <v>12527</v>
          </cell>
          <cell r="U307">
            <v>11622.773155323541</v>
          </cell>
        </row>
        <row r="308">
          <cell r="A308">
            <v>43764</v>
          </cell>
          <cell r="B308" t="str">
            <v>Kw 43</v>
          </cell>
          <cell r="C308">
            <v>10</v>
          </cell>
          <cell r="D308">
            <v>6</v>
          </cell>
          <cell r="E308" t="str">
            <v>-</v>
          </cell>
          <cell r="L308">
            <v>8017.28</v>
          </cell>
          <cell r="U308">
            <v>0</v>
          </cell>
        </row>
        <row r="309">
          <cell r="A309">
            <v>43765</v>
          </cell>
          <cell r="B309" t="str">
            <v>Kw 43</v>
          </cell>
          <cell r="C309">
            <v>10</v>
          </cell>
          <cell r="D309">
            <v>7</v>
          </cell>
          <cell r="E309" t="str">
            <v>-</v>
          </cell>
          <cell r="L309">
            <v>6012.96</v>
          </cell>
          <cell r="U309">
            <v>0</v>
          </cell>
        </row>
        <row r="310">
          <cell r="A310">
            <v>43766</v>
          </cell>
          <cell r="B310" t="str">
            <v>Kw 44</v>
          </cell>
          <cell r="C310">
            <v>10</v>
          </cell>
          <cell r="D310">
            <v>1</v>
          </cell>
          <cell r="E310" t="str">
            <v>-</v>
          </cell>
          <cell r="L310">
            <v>10021.6</v>
          </cell>
          <cell r="U310">
            <v>9742.6186743153248</v>
          </cell>
        </row>
        <row r="311">
          <cell r="A311">
            <v>43767</v>
          </cell>
          <cell r="B311" t="str">
            <v>Kw 44</v>
          </cell>
          <cell r="C311">
            <v>10</v>
          </cell>
          <cell r="D311">
            <v>2</v>
          </cell>
          <cell r="E311" t="str">
            <v>-</v>
          </cell>
          <cell r="L311">
            <v>12527</v>
          </cell>
          <cell r="U311">
            <v>11622.773155323541</v>
          </cell>
        </row>
        <row r="312">
          <cell r="A312">
            <v>43768</v>
          </cell>
          <cell r="B312" t="str">
            <v>Kw 44</v>
          </cell>
          <cell r="C312">
            <v>10</v>
          </cell>
          <cell r="D312">
            <v>3</v>
          </cell>
          <cell r="E312" t="str">
            <v>-</v>
          </cell>
          <cell r="L312">
            <v>12527</v>
          </cell>
          <cell r="U312">
            <v>11622.773155323541</v>
          </cell>
        </row>
        <row r="313">
          <cell r="A313">
            <v>43769</v>
          </cell>
          <cell r="B313" t="str">
            <v>Kw 44</v>
          </cell>
          <cell r="C313">
            <v>10</v>
          </cell>
          <cell r="D313">
            <v>4</v>
          </cell>
          <cell r="E313" t="str">
            <v>-</v>
          </cell>
          <cell r="L313">
            <v>12527</v>
          </cell>
          <cell r="U313">
            <v>11622.773155323541</v>
          </cell>
        </row>
        <row r="314">
          <cell r="A314">
            <v>43770</v>
          </cell>
          <cell r="B314" t="str">
            <v>Kw 44</v>
          </cell>
          <cell r="C314">
            <v>11</v>
          </cell>
          <cell r="D314">
            <v>5</v>
          </cell>
          <cell r="E314" t="str">
            <v>Allerheiligen</v>
          </cell>
          <cell r="L314">
            <v>8017.28</v>
          </cell>
          <cell r="U314">
            <v>13454.39407200996</v>
          </cell>
        </row>
        <row r="315">
          <cell r="A315">
            <v>43771</v>
          </cell>
          <cell r="B315" t="str">
            <v>Kw 44</v>
          </cell>
          <cell r="C315">
            <v>11</v>
          </cell>
          <cell r="D315">
            <v>6</v>
          </cell>
          <cell r="E315" t="str">
            <v>-</v>
          </cell>
          <cell r="L315">
            <v>8017.28</v>
          </cell>
          <cell r="U315">
            <v>0</v>
          </cell>
        </row>
        <row r="316">
          <cell r="A316">
            <v>43772</v>
          </cell>
          <cell r="B316" t="str">
            <v>Kw 44</v>
          </cell>
          <cell r="C316">
            <v>11</v>
          </cell>
          <cell r="D316">
            <v>7</v>
          </cell>
          <cell r="E316" t="str">
            <v>-</v>
          </cell>
          <cell r="L316">
            <v>6012.96</v>
          </cell>
          <cell r="U316">
            <v>0</v>
          </cell>
        </row>
        <row r="317">
          <cell r="A317">
            <v>43773</v>
          </cell>
          <cell r="B317" t="str">
            <v>Kw 45</v>
          </cell>
          <cell r="C317">
            <v>11</v>
          </cell>
          <cell r="D317">
            <v>1</v>
          </cell>
          <cell r="E317" t="str">
            <v>-</v>
          </cell>
          <cell r="L317">
            <v>10021.6</v>
          </cell>
          <cell r="U317">
            <v>10090.795554007471</v>
          </cell>
        </row>
        <row r="318">
          <cell r="A318">
            <v>43774</v>
          </cell>
          <cell r="B318" t="str">
            <v>Kw 45</v>
          </cell>
          <cell r="C318">
            <v>11</v>
          </cell>
          <cell r="D318">
            <v>2</v>
          </cell>
          <cell r="E318" t="str">
            <v>-</v>
          </cell>
          <cell r="L318">
            <v>12527</v>
          </cell>
          <cell r="U318">
            <v>13454.39407200996</v>
          </cell>
        </row>
        <row r="319">
          <cell r="A319">
            <v>43775</v>
          </cell>
          <cell r="B319" t="str">
            <v>Kw 45</v>
          </cell>
          <cell r="C319">
            <v>11</v>
          </cell>
          <cell r="D319">
            <v>3</v>
          </cell>
          <cell r="E319" t="str">
            <v>-</v>
          </cell>
          <cell r="L319">
            <v>12527</v>
          </cell>
          <cell r="U319">
            <v>13454.39407200996</v>
          </cell>
        </row>
        <row r="320">
          <cell r="A320">
            <v>43776</v>
          </cell>
          <cell r="B320" t="str">
            <v>Kw 45</v>
          </cell>
          <cell r="C320">
            <v>11</v>
          </cell>
          <cell r="D320">
            <v>4</v>
          </cell>
          <cell r="E320" t="str">
            <v>-</v>
          </cell>
          <cell r="L320">
            <v>12527</v>
          </cell>
          <cell r="U320">
            <v>13454.39407200996</v>
          </cell>
        </row>
        <row r="321">
          <cell r="A321">
            <v>43777</v>
          </cell>
          <cell r="B321" t="str">
            <v>Kw 45</v>
          </cell>
          <cell r="C321">
            <v>11</v>
          </cell>
          <cell r="D321">
            <v>5</v>
          </cell>
          <cell r="E321" t="str">
            <v>-</v>
          </cell>
          <cell r="L321">
            <v>12527</v>
          </cell>
          <cell r="U321">
            <v>13454.39407200996</v>
          </cell>
        </row>
        <row r="322">
          <cell r="A322">
            <v>43778</v>
          </cell>
          <cell r="B322" t="str">
            <v>Kw 45</v>
          </cell>
          <cell r="C322">
            <v>11</v>
          </cell>
          <cell r="D322">
            <v>6</v>
          </cell>
          <cell r="E322" t="str">
            <v>-</v>
          </cell>
          <cell r="L322">
            <v>8017.28</v>
          </cell>
          <cell r="U322">
            <v>0</v>
          </cell>
        </row>
        <row r="323">
          <cell r="A323">
            <v>43779</v>
          </cell>
          <cell r="B323" t="str">
            <v>Kw 45</v>
          </cell>
          <cell r="C323">
            <v>11</v>
          </cell>
          <cell r="D323">
            <v>7</v>
          </cell>
          <cell r="E323" t="str">
            <v>-</v>
          </cell>
          <cell r="L323">
            <v>6012.96</v>
          </cell>
          <cell r="U323">
            <v>0</v>
          </cell>
        </row>
        <row r="324">
          <cell r="A324">
            <v>43780</v>
          </cell>
          <cell r="B324" t="str">
            <v>Kw 46</v>
          </cell>
          <cell r="C324">
            <v>11</v>
          </cell>
          <cell r="D324">
            <v>1</v>
          </cell>
          <cell r="E324" t="str">
            <v>-</v>
          </cell>
          <cell r="L324">
            <v>10021.6</v>
          </cell>
          <cell r="U324">
            <v>10090.795554007471</v>
          </cell>
        </row>
        <row r="325">
          <cell r="A325">
            <v>43781</v>
          </cell>
          <cell r="B325" t="str">
            <v>Kw 46</v>
          </cell>
          <cell r="C325">
            <v>11</v>
          </cell>
          <cell r="D325">
            <v>2</v>
          </cell>
          <cell r="E325" t="str">
            <v>-</v>
          </cell>
          <cell r="L325">
            <v>12527</v>
          </cell>
          <cell r="U325">
            <v>13454.39407200996</v>
          </cell>
        </row>
        <row r="326">
          <cell r="A326">
            <v>43782</v>
          </cell>
          <cell r="B326" t="str">
            <v>Kw 46</v>
          </cell>
          <cell r="C326">
            <v>11</v>
          </cell>
          <cell r="D326">
            <v>3</v>
          </cell>
          <cell r="E326" t="str">
            <v>-</v>
          </cell>
          <cell r="L326">
            <v>12527</v>
          </cell>
          <cell r="U326">
            <v>13454.39407200996</v>
          </cell>
        </row>
        <row r="327">
          <cell r="A327">
            <v>43783</v>
          </cell>
          <cell r="B327" t="str">
            <v>Kw 46</v>
          </cell>
          <cell r="C327">
            <v>11</v>
          </cell>
          <cell r="D327">
            <v>4</v>
          </cell>
          <cell r="E327" t="str">
            <v>-</v>
          </cell>
          <cell r="L327">
            <v>12527</v>
          </cell>
          <cell r="U327">
            <v>13454.39407200996</v>
          </cell>
        </row>
        <row r="328">
          <cell r="A328">
            <v>43784</v>
          </cell>
          <cell r="B328" t="str">
            <v>Kw 46</v>
          </cell>
          <cell r="C328">
            <v>11</v>
          </cell>
          <cell r="D328">
            <v>5</v>
          </cell>
          <cell r="E328" t="str">
            <v>-</v>
          </cell>
          <cell r="L328">
            <v>12527</v>
          </cell>
          <cell r="U328">
            <v>13454.39407200996</v>
          </cell>
        </row>
        <row r="329">
          <cell r="A329">
            <v>43785</v>
          </cell>
          <cell r="B329" t="str">
            <v>Kw 46</v>
          </cell>
          <cell r="C329">
            <v>11</v>
          </cell>
          <cell r="D329">
            <v>6</v>
          </cell>
          <cell r="E329" t="str">
            <v>-</v>
          </cell>
          <cell r="L329">
            <v>8017.28</v>
          </cell>
          <cell r="U329">
            <v>0</v>
          </cell>
        </row>
        <row r="330">
          <cell r="A330">
            <v>43786</v>
          </cell>
          <cell r="B330" t="str">
            <v>Kw 46</v>
          </cell>
          <cell r="C330">
            <v>11</v>
          </cell>
          <cell r="D330">
            <v>7</v>
          </cell>
          <cell r="E330" t="str">
            <v>-</v>
          </cell>
          <cell r="L330">
            <v>6012.96</v>
          </cell>
          <cell r="U330">
            <v>0</v>
          </cell>
        </row>
        <row r="331">
          <cell r="A331">
            <v>43787</v>
          </cell>
          <cell r="B331" t="str">
            <v>Kw 47</v>
          </cell>
          <cell r="C331">
            <v>11</v>
          </cell>
          <cell r="D331">
            <v>1</v>
          </cell>
          <cell r="E331" t="str">
            <v>-</v>
          </cell>
          <cell r="L331">
            <v>10021.6</v>
          </cell>
          <cell r="U331">
            <v>10090.795554007471</v>
          </cell>
        </row>
        <row r="332">
          <cell r="A332">
            <v>43788</v>
          </cell>
          <cell r="B332" t="str">
            <v>Kw 47</v>
          </cell>
          <cell r="C332">
            <v>11</v>
          </cell>
          <cell r="D332">
            <v>2</v>
          </cell>
          <cell r="E332" t="str">
            <v>-</v>
          </cell>
          <cell r="L332">
            <v>12527</v>
          </cell>
          <cell r="U332">
            <v>13454.39407200996</v>
          </cell>
        </row>
        <row r="333">
          <cell r="A333">
            <v>43789</v>
          </cell>
          <cell r="B333" t="str">
            <v>Kw 47</v>
          </cell>
          <cell r="C333">
            <v>11</v>
          </cell>
          <cell r="D333">
            <v>3</v>
          </cell>
          <cell r="E333" t="str">
            <v>-</v>
          </cell>
          <cell r="L333">
            <v>12527</v>
          </cell>
          <cell r="U333">
            <v>13454.39407200996</v>
          </cell>
        </row>
        <row r="334">
          <cell r="A334">
            <v>43790</v>
          </cell>
          <cell r="B334" t="str">
            <v>Kw 47</v>
          </cell>
          <cell r="C334">
            <v>11</v>
          </cell>
          <cell r="D334">
            <v>4</v>
          </cell>
          <cell r="E334" t="str">
            <v>-</v>
          </cell>
          <cell r="L334">
            <v>12527</v>
          </cell>
          <cell r="U334">
            <v>13454.39407200996</v>
          </cell>
        </row>
        <row r="335">
          <cell r="A335">
            <v>43791</v>
          </cell>
          <cell r="B335" t="str">
            <v>Kw 47</v>
          </cell>
          <cell r="C335">
            <v>11</v>
          </cell>
          <cell r="D335">
            <v>5</v>
          </cell>
          <cell r="E335" t="str">
            <v>-</v>
          </cell>
          <cell r="L335">
            <v>12527</v>
          </cell>
          <cell r="U335">
            <v>13454.39407200996</v>
          </cell>
        </row>
        <row r="336">
          <cell r="A336">
            <v>43792</v>
          </cell>
          <cell r="B336" t="str">
            <v>Kw 47</v>
          </cell>
          <cell r="C336">
            <v>11</v>
          </cell>
          <cell r="D336">
            <v>6</v>
          </cell>
          <cell r="E336" t="str">
            <v>-</v>
          </cell>
          <cell r="L336">
            <v>8017.28</v>
          </cell>
          <cell r="U336">
            <v>0</v>
          </cell>
        </row>
        <row r="337">
          <cell r="A337">
            <v>43793</v>
          </cell>
          <cell r="B337" t="str">
            <v>Kw 47</v>
          </cell>
          <cell r="C337">
            <v>11</v>
          </cell>
          <cell r="D337">
            <v>7</v>
          </cell>
          <cell r="E337" t="str">
            <v>-</v>
          </cell>
          <cell r="L337">
            <v>6012.96</v>
          </cell>
          <cell r="U337">
            <v>0</v>
          </cell>
        </row>
        <row r="338">
          <cell r="A338">
            <v>43794</v>
          </cell>
          <cell r="B338" t="str">
            <v>Kw 48</v>
          </cell>
          <cell r="C338">
            <v>11</v>
          </cell>
          <cell r="D338">
            <v>1</v>
          </cell>
          <cell r="E338" t="str">
            <v>-</v>
          </cell>
          <cell r="L338">
            <v>10021.6</v>
          </cell>
          <cell r="U338">
            <v>10090.795554007471</v>
          </cell>
        </row>
        <row r="339">
          <cell r="A339">
            <v>43795</v>
          </cell>
          <cell r="B339" t="str">
            <v>Kw 48</v>
          </cell>
          <cell r="C339">
            <v>11</v>
          </cell>
          <cell r="D339">
            <v>2</v>
          </cell>
          <cell r="E339" t="str">
            <v>-</v>
          </cell>
          <cell r="L339">
            <v>12527</v>
          </cell>
          <cell r="U339">
            <v>13454.39407200996</v>
          </cell>
        </row>
        <row r="340">
          <cell r="A340">
            <v>43796</v>
          </cell>
          <cell r="B340" t="str">
            <v>Kw 48</v>
          </cell>
          <cell r="C340">
            <v>11</v>
          </cell>
          <cell r="D340">
            <v>3</v>
          </cell>
          <cell r="E340" t="str">
            <v>-</v>
          </cell>
          <cell r="L340">
            <v>12527</v>
          </cell>
          <cell r="U340">
            <v>13454.39407200996</v>
          </cell>
        </row>
        <row r="341">
          <cell r="A341">
            <v>43797</v>
          </cell>
          <cell r="B341" t="str">
            <v>Kw 48</v>
          </cell>
          <cell r="C341">
            <v>11</v>
          </cell>
          <cell r="D341">
            <v>4</v>
          </cell>
          <cell r="E341" t="str">
            <v>-</v>
          </cell>
          <cell r="L341">
            <v>12527</v>
          </cell>
          <cell r="U341">
            <v>13454.39407200996</v>
          </cell>
        </row>
        <row r="342">
          <cell r="A342">
            <v>43798</v>
          </cell>
          <cell r="B342" t="str">
            <v>Kw 48</v>
          </cell>
          <cell r="C342">
            <v>11</v>
          </cell>
          <cell r="D342">
            <v>5</v>
          </cell>
          <cell r="E342" t="str">
            <v>-</v>
          </cell>
          <cell r="L342">
            <v>12527</v>
          </cell>
          <cell r="U342">
            <v>13454.39407200996</v>
          </cell>
        </row>
        <row r="343">
          <cell r="A343">
            <v>43799</v>
          </cell>
          <cell r="B343" t="str">
            <v>Kw 48</v>
          </cell>
          <cell r="C343">
            <v>11</v>
          </cell>
          <cell r="D343">
            <v>6</v>
          </cell>
          <cell r="E343" t="str">
            <v>-</v>
          </cell>
          <cell r="L343">
            <v>8017.28</v>
          </cell>
          <cell r="U343">
            <v>0</v>
          </cell>
        </row>
        <row r="344">
          <cell r="A344">
            <v>43800</v>
          </cell>
          <cell r="B344" t="str">
            <v>Kw 48</v>
          </cell>
          <cell r="C344">
            <v>12</v>
          </cell>
          <cell r="D344">
            <v>7</v>
          </cell>
          <cell r="E344" t="str">
            <v>-</v>
          </cell>
          <cell r="L344">
            <v>6012.96</v>
          </cell>
          <cell r="U344">
            <v>0</v>
          </cell>
        </row>
        <row r="345">
          <cell r="A345">
            <v>43801</v>
          </cell>
          <cell r="B345" t="str">
            <v>Kw 49</v>
          </cell>
          <cell r="C345">
            <v>12</v>
          </cell>
          <cell r="D345">
            <v>1</v>
          </cell>
          <cell r="E345" t="str">
            <v>-</v>
          </cell>
          <cell r="L345">
            <v>10021.6</v>
          </cell>
          <cell r="U345">
            <v>6550.9744534579868</v>
          </cell>
        </row>
        <row r="346">
          <cell r="A346">
            <v>43802</v>
          </cell>
          <cell r="B346" t="str">
            <v>Kw 49</v>
          </cell>
          <cell r="C346">
            <v>12</v>
          </cell>
          <cell r="D346">
            <v>2</v>
          </cell>
          <cell r="E346" t="str">
            <v>-</v>
          </cell>
          <cell r="L346">
            <v>12527</v>
          </cell>
          <cell r="U346">
            <v>10918.29075576331</v>
          </cell>
        </row>
        <row r="347">
          <cell r="A347">
            <v>43803</v>
          </cell>
          <cell r="B347" t="str">
            <v>Kw 49</v>
          </cell>
          <cell r="C347">
            <v>12</v>
          </cell>
          <cell r="D347">
            <v>3</v>
          </cell>
          <cell r="E347" t="str">
            <v>-</v>
          </cell>
          <cell r="L347">
            <v>12527</v>
          </cell>
          <cell r="U347">
            <v>10918.29075576331</v>
          </cell>
        </row>
        <row r="348">
          <cell r="A348">
            <v>43804</v>
          </cell>
          <cell r="B348" t="str">
            <v>Kw 49</v>
          </cell>
          <cell r="C348">
            <v>12</v>
          </cell>
          <cell r="D348">
            <v>4</v>
          </cell>
          <cell r="E348" t="str">
            <v>-</v>
          </cell>
          <cell r="L348">
            <v>12527</v>
          </cell>
          <cell r="U348">
            <v>10918.29075576331</v>
          </cell>
        </row>
        <row r="349">
          <cell r="A349">
            <v>43805</v>
          </cell>
          <cell r="B349" t="str">
            <v>Kw 49</v>
          </cell>
          <cell r="C349">
            <v>12</v>
          </cell>
          <cell r="D349">
            <v>5</v>
          </cell>
          <cell r="E349" t="str">
            <v>-</v>
          </cell>
          <cell r="L349">
            <v>12527</v>
          </cell>
          <cell r="U349">
            <v>10918.29075576331</v>
          </cell>
        </row>
        <row r="350">
          <cell r="A350">
            <v>43806</v>
          </cell>
          <cell r="B350" t="str">
            <v>Kw 49</v>
          </cell>
          <cell r="C350">
            <v>12</v>
          </cell>
          <cell r="D350">
            <v>6</v>
          </cell>
          <cell r="E350" t="str">
            <v>-</v>
          </cell>
          <cell r="L350">
            <v>8017.28</v>
          </cell>
          <cell r="U350">
            <v>0</v>
          </cell>
        </row>
        <row r="351">
          <cell r="A351">
            <v>43807</v>
          </cell>
          <cell r="B351" t="str">
            <v>Kw 49</v>
          </cell>
          <cell r="C351">
            <v>12</v>
          </cell>
          <cell r="D351">
            <v>7</v>
          </cell>
          <cell r="E351" t="str">
            <v>-</v>
          </cell>
          <cell r="L351">
            <v>6012.96</v>
          </cell>
          <cell r="U351">
            <v>0</v>
          </cell>
        </row>
        <row r="352">
          <cell r="A352">
            <v>43808</v>
          </cell>
          <cell r="B352" t="str">
            <v>Kw 50</v>
          </cell>
          <cell r="C352">
            <v>12</v>
          </cell>
          <cell r="D352">
            <v>1</v>
          </cell>
          <cell r="E352" t="str">
            <v>-</v>
          </cell>
          <cell r="L352">
            <v>10021.6</v>
          </cell>
          <cell r="U352">
            <v>6550.9744534579868</v>
          </cell>
        </row>
        <row r="353">
          <cell r="A353">
            <v>43809</v>
          </cell>
          <cell r="B353" t="str">
            <v>Kw 50</v>
          </cell>
          <cell r="C353">
            <v>12</v>
          </cell>
          <cell r="D353">
            <v>2</v>
          </cell>
          <cell r="E353" t="str">
            <v>-</v>
          </cell>
          <cell r="L353">
            <v>12527</v>
          </cell>
          <cell r="U353">
            <v>10918.29075576331</v>
          </cell>
        </row>
        <row r="354">
          <cell r="A354">
            <v>43810</v>
          </cell>
          <cell r="B354" t="str">
            <v>Kw 50</v>
          </cell>
          <cell r="C354">
            <v>12</v>
          </cell>
          <cell r="D354">
            <v>3</v>
          </cell>
          <cell r="E354" t="str">
            <v>-</v>
          </cell>
          <cell r="L354">
            <v>12527</v>
          </cell>
          <cell r="U354">
            <v>10918.29075576331</v>
          </cell>
        </row>
        <row r="355">
          <cell r="A355">
            <v>43811</v>
          </cell>
          <cell r="B355" t="str">
            <v>Kw 50</v>
          </cell>
          <cell r="C355">
            <v>12</v>
          </cell>
          <cell r="D355">
            <v>4</v>
          </cell>
          <cell r="E355" t="str">
            <v>-</v>
          </cell>
          <cell r="L355">
            <v>12527</v>
          </cell>
          <cell r="U355">
            <v>10918.29075576331</v>
          </cell>
        </row>
        <row r="356">
          <cell r="A356">
            <v>43812</v>
          </cell>
          <cell r="B356" t="str">
            <v>Kw 50</v>
          </cell>
          <cell r="C356">
            <v>12</v>
          </cell>
          <cell r="D356">
            <v>5</v>
          </cell>
          <cell r="E356" t="str">
            <v>-</v>
          </cell>
          <cell r="L356">
            <v>12527</v>
          </cell>
          <cell r="U356">
            <v>10918.29075576331</v>
          </cell>
        </row>
        <row r="357">
          <cell r="A357">
            <v>43813</v>
          </cell>
          <cell r="B357" t="str">
            <v>Kw 50</v>
          </cell>
          <cell r="C357">
            <v>12</v>
          </cell>
          <cell r="D357">
            <v>6</v>
          </cell>
          <cell r="E357" t="str">
            <v>-</v>
          </cell>
          <cell r="L357">
            <v>8017.28</v>
          </cell>
          <cell r="U357">
            <v>0</v>
          </cell>
        </row>
        <row r="358">
          <cell r="A358">
            <v>43814</v>
          </cell>
          <cell r="B358" t="str">
            <v>Kw 50</v>
          </cell>
          <cell r="C358">
            <v>12</v>
          </cell>
          <cell r="D358">
            <v>7</v>
          </cell>
          <cell r="E358" t="str">
            <v>-</v>
          </cell>
          <cell r="L358">
            <v>6012.96</v>
          </cell>
          <cell r="U358">
            <v>0</v>
          </cell>
        </row>
        <row r="359">
          <cell r="A359">
            <v>43815</v>
          </cell>
          <cell r="B359" t="str">
            <v>Kw 51</v>
          </cell>
          <cell r="C359">
            <v>12</v>
          </cell>
          <cell r="D359">
            <v>1</v>
          </cell>
          <cell r="E359" t="str">
            <v>-</v>
          </cell>
          <cell r="L359">
            <v>10021.6</v>
          </cell>
          <cell r="U359">
            <v>6550.9744534579868</v>
          </cell>
        </row>
        <row r="360">
          <cell r="A360">
            <v>43816</v>
          </cell>
          <cell r="B360" t="str">
            <v>Kw 51</v>
          </cell>
          <cell r="C360">
            <v>12</v>
          </cell>
          <cell r="D360">
            <v>2</v>
          </cell>
          <cell r="E360" t="str">
            <v>-</v>
          </cell>
          <cell r="L360">
            <v>12527</v>
          </cell>
          <cell r="U360">
            <v>10918.29075576331</v>
          </cell>
        </row>
        <row r="361">
          <cell r="A361">
            <v>43817</v>
          </cell>
          <cell r="B361" t="str">
            <v>Kw 51</v>
          </cell>
          <cell r="C361">
            <v>12</v>
          </cell>
          <cell r="D361">
            <v>3</v>
          </cell>
          <cell r="E361" t="str">
            <v>-</v>
          </cell>
          <cell r="L361">
            <v>12527</v>
          </cell>
          <cell r="U361">
            <v>10918.29075576331</v>
          </cell>
        </row>
        <row r="362">
          <cell r="A362">
            <v>43818</v>
          </cell>
          <cell r="B362" t="str">
            <v>Kw 51</v>
          </cell>
          <cell r="C362">
            <v>12</v>
          </cell>
          <cell r="D362">
            <v>4</v>
          </cell>
          <cell r="E362" t="str">
            <v>-</v>
          </cell>
          <cell r="L362">
            <v>12527</v>
          </cell>
          <cell r="U362">
            <v>10918.29075576331</v>
          </cell>
        </row>
        <row r="363">
          <cell r="A363">
            <v>43819</v>
          </cell>
          <cell r="B363" t="str">
            <v>Kw 51</v>
          </cell>
          <cell r="C363">
            <v>12</v>
          </cell>
          <cell r="D363">
            <v>5</v>
          </cell>
          <cell r="E363" t="str">
            <v>-</v>
          </cell>
          <cell r="L363">
            <v>12527</v>
          </cell>
          <cell r="U363">
            <v>10918.29075576331</v>
          </cell>
        </row>
        <row r="364">
          <cell r="A364">
            <v>43820</v>
          </cell>
          <cell r="B364" t="str">
            <v>Kw 51</v>
          </cell>
          <cell r="C364">
            <v>12</v>
          </cell>
          <cell r="D364">
            <v>6</v>
          </cell>
          <cell r="E364" t="str">
            <v>-</v>
          </cell>
          <cell r="L364">
            <v>8017.28</v>
          </cell>
          <cell r="U364">
            <v>0</v>
          </cell>
        </row>
        <row r="365">
          <cell r="A365">
            <v>43821</v>
          </cell>
          <cell r="B365" t="str">
            <v>Kw 51</v>
          </cell>
          <cell r="C365">
            <v>12</v>
          </cell>
          <cell r="D365">
            <v>7</v>
          </cell>
          <cell r="E365" t="str">
            <v>-</v>
          </cell>
          <cell r="L365">
            <v>6012.96</v>
          </cell>
          <cell r="U365">
            <v>0</v>
          </cell>
        </row>
        <row r="366">
          <cell r="A366">
            <v>43822</v>
          </cell>
          <cell r="B366" t="str">
            <v>Kw 52</v>
          </cell>
          <cell r="C366">
            <v>12</v>
          </cell>
          <cell r="D366">
            <v>1</v>
          </cell>
          <cell r="E366" t="str">
            <v>-</v>
          </cell>
          <cell r="L366">
            <v>10021.6</v>
          </cell>
          <cell r="U366">
            <v>6550.9744534579868</v>
          </cell>
        </row>
        <row r="367">
          <cell r="A367">
            <v>43823</v>
          </cell>
          <cell r="B367" t="str">
            <v>Kw 52</v>
          </cell>
          <cell r="C367">
            <v>12</v>
          </cell>
          <cell r="D367">
            <v>2</v>
          </cell>
          <cell r="E367" t="str">
            <v>-</v>
          </cell>
          <cell r="L367">
            <v>12527</v>
          </cell>
          <cell r="U367">
            <v>10918.29075576331</v>
          </cell>
        </row>
        <row r="368">
          <cell r="A368">
            <v>43824</v>
          </cell>
          <cell r="B368" t="str">
            <v>Kw 52</v>
          </cell>
          <cell r="C368">
            <v>12</v>
          </cell>
          <cell r="D368">
            <v>3</v>
          </cell>
          <cell r="E368" t="str">
            <v>1. Weihnachtstag</v>
          </cell>
          <cell r="L368">
            <v>8017.28</v>
          </cell>
          <cell r="U368">
            <v>10918.29075576331</v>
          </cell>
        </row>
        <row r="369">
          <cell r="A369">
            <v>43825</v>
          </cell>
          <cell r="B369" t="str">
            <v>Kw 52</v>
          </cell>
          <cell r="C369">
            <v>12</v>
          </cell>
          <cell r="D369">
            <v>4</v>
          </cell>
          <cell r="E369" t="str">
            <v>2. Weihnachtstag</v>
          </cell>
          <cell r="L369">
            <v>8017.28</v>
          </cell>
          <cell r="U369">
            <v>10918.29075576331</v>
          </cell>
        </row>
        <row r="370">
          <cell r="A370">
            <v>43826</v>
          </cell>
          <cell r="B370" t="str">
            <v>Kw 52</v>
          </cell>
          <cell r="C370">
            <v>12</v>
          </cell>
          <cell r="D370">
            <v>5</v>
          </cell>
          <cell r="E370" t="str">
            <v>-</v>
          </cell>
          <cell r="L370">
            <v>12527</v>
          </cell>
          <cell r="U370">
            <v>10918.29075576331</v>
          </cell>
        </row>
        <row r="371">
          <cell r="A371">
            <v>43827</v>
          </cell>
          <cell r="B371" t="str">
            <v>Kw 52</v>
          </cell>
          <cell r="C371">
            <v>12</v>
          </cell>
          <cell r="D371">
            <v>6</v>
          </cell>
          <cell r="E371" t="str">
            <v>-</v>
          </cell>
          <cell r="L371">
            <v>8017.28</v>
          </cell>
          <cell r="U371">
            <v>0</v>
          </cell>
        </row>
        <row r="372">
          <cell r="A372">
            <v>43828</v>
          </cell>
          <cell r="B372" t="str">
            <v>Kw 52</v>
          </cell>
          <cell r="C372">
            <v>12</v>
          </cell>
          <cell r="D372">
            <v>7</v>
          </cell>
          <cell r="E372" t="str">
            <v>-</v>
          </cell>
          <cell r="L372">
            <v>6012.96</v>
          </cell>
          <cell r="U372">
            <v>0</v>
          </cell>
        </row>
        <row r="373">
          <cell r="A373">
            <v>43829</v>
          </cell>
          <cell r="B373" t="str">
            <v>Kw 53</v>
          </cell>
          <cell r="C373">
            <v>12</v>
          </cell>
          <cell r="D373">
            <v>1</v>
          </cell>
          <cell r="E373" t="str">
            <v>-</v>
          </cell>
          <cell r="L373">
            <v>10021.6</v>
          </cell>
          <cell r="U373">
            <v>6550.9744534579868</v>
          </cell>
        </row>
        <row r="374">
          <cell r="A374">
            <v>43830</v>
          </cell>
          <cell r="B374" t="str">
            <v>Kw 53</v>
          </cell>
          <cell r="C374">
            <v>12</v>
          </cell>
          <cell r="D374">
            <v>2</v>
          </cell>
          <cell r="E374" t="str">
            <v>-</v>
          </cell>
          <cell r="L374">
            <v>12527</v>
          </cell>
          <cell r="U374">
            <v>10918.29075576331</v>
          </cell>
        </row>
      </sheetData>
      <sheetData sheetId="5"/>
      <sheetData sheetId="6"/>
      <sheetData sheetId="7"/>
      <sheetData sheetId="8">
        <row r="18">
          <cell r="B18" t="str">
            <v>PLAN Einlastung [Erstellte Positionen]</v>
          </cell>
          <cell r="C18">
            <v>108.08</v>
          </cell>
          <cell r="D18">
            <v>216960.07586972613</v>
          </cell>
          <cell r="E18">
            <v>231549.21354552184</v>
          </cell>
          <cell r="F18">
            <v>249921.32679496665</v>
          </cell>
          <cell r="G18">
            <v>303513.4807549963</v>
          </cell>
          <cell r="H18">
            <v>339364.47076239821</v>
          </cell>
          <cell r="I18">
            <v>266153.64544781641</v>
          </cell>
          <cell r="J18">
            <v>295874.9537379719</v>
          </cell>
          <cell r="K18">
            <v>285230.64396743156</v>
          </cell>
          <cell r="L18">
            <v>275642.3112509253</v>
          </cell>
          <cell r="M18">
            <v>251333.23464100665</v>
          </cell>
          <cell r="N18">
            <v>260315.25727019366</v>
          </cell>
          <cell r="O18">
            <v>211246.79802192724</v>
          </cell>
        </row>
        <row r="19">
          <cell r="B19" t="str">
            <v>Output Soll (Verpackte Positionen)</v>
          </cell>
          <cell r="C19">
            <v>3.3700000000000001E-2</v>
          </cell>
          <cell r="D19">
            <v>224271.63042653591</v>
          </cell>
          <cell r="E19">
            <v>239352.42204200593</v>
          </cell>
          <cell r="F19">
            <v>258343.67550795703</v>
          </cell>
          <cell r="G19">
            <v>313741.88505643967</v>
          </cell>
          <cell r="H19">
            <v>350801.05342709104</v>
          </cell>
          <cell r="I19">
            <v>275123.02329940785</v>
          </cell>
          <cell r="J19">
            <v>305845.93967894156</v>
          </cell>
          <cell r="K19">
            <v>294842.91666913405</v>
          </cell>
          <cell r="L19">
            <v>284931.4571400815</v>
          </cell>
          <cell r="M19">
            <v>259803.16464840859</v>
          </cell>
          <cell r="N19">
            <v>269087.88144019921</v>
          </cell>
          <cell r="O19">
            <v>218365.81511526622</v>
          </cell>
        </row>
        <row r="20">
          <cell r="B20" t="str">
            <v>∆ STUTE KAPA vs. Einlastung:</v>
          </cell>
          <cell r="C20">
            <v>74159.840000000011</v>
          </cell>
          <cell r="D20">
            <v>105439.00957346411</v>
          </cell>
          <cell r="E20">
            <v>57286.937957994058</v>
          </cell>
          <cell r="F20">
            <v>64852.924492043006</v>
          </cell>
          <cell r="G20">
            <v>-1067.965056439687</v>
          </cell>
          <cell r="H20">
            <v>-25600.133427091001</v>
          </cell>
          <cell r="I20">
            <v>29032.536700592143</v>
          </cell>
          <cell r="J20">
            <v>25869.020321058459</v>
          </cell>
          <cell r="K20">
            <v>30358.003330865933</v>
          </cell>
          <cell r="L20">
            <v>27742.462859918538</v>
          </cell>
          <cell r="M20">
            <v>69907.47535159142</v>
          </cell>
          <cell r="N20">
            <v>43586.038559800829</v>
          </cell>
          <cell r="O20">
            <v>97815.664884733822</v>
          </cell>
        </row>
        <row r="22">
          <cell r="B22" t="str">
            <v>Arbbeitstage</v>
          </cell>
          <cell r="D22">
            <v>22</v>
          </cell>
          <cell r="E22">
            <v>20</v>
          </cell>
          <cell r="F22">
            <v>21</v>
          </cell>
          <cell r="G22">
            <v>20</v>
          </cell>
          <cell r="H22">
            <v>21</v>
          </cell>
          <cell r="I22">
            <v>18</v>
          </cell>
          <cell r="J22">
            <v>23</v>
          </cell>
          <cell r="K22">
            <v>21</v>
          </cell>
          <cell r="L22">
            <v>21</v>
          </cell>
          <cell r="M22">
            <v>22</v>
          </cell>
          <cell r="N22">
            <v>20</v>
          </cell>
          <cell r="O22">
            <v>20</v>
          </cell>
        </row>
        <row r="23">
          <cell r="B23" t="str">
            <v>pro Arbeitstag</v>
          </cell>
          <cell r="D23">
            <v>9861.8216304420966</v>
          </cell>
          <cell r="E23">
            <v>11577.460677276093</v>
          </cell>
          <cell r="F23">
            <v>11901.015561665079</v>
          </cell>
          <cell r="G23">
            <v>15175.674037749815</v>
          </cell>
          <cell r="H23">
            <v>16160.212893447533</v>
          </cell>
          <cell r="I23">
            <v>14786.3136359898</v>
          </cell>
          <cell r="J23">
            <v>12864.128423390082</v>
          </cell>
          <cell r="K23">
            <v>13582.41161749674</v>
          </cell>
          <cell r="L23">
            <v>13125.824345282157</v>
          </cell>
          <cell r="M23">
            <v>11424.237938227576</v>
          </cell>
          <cell r="N23">
            <v>13015.762863509683</v>
          </cell>
          <cell r="O23">
            <v>10562.339901096362</v>
          </cell>
        </row>
      </sheetData>
      <sheetData sheetId="9"/>
      <sheetData sheetId="10"/>
      <sheetData sheetId="11"/>
      <sheetData sheetId="12"/>
      <sheetData sheetId="13"/>
    </sheetDataSet>
  </externalBook>
</externalLink>
</file>

<file path=xl/tables/table1.xml><?xml version="1.0" encoding="utf-8"?>
<table xmlns="http://schemas.openxmlformats.org/spreadsheetml/2006/main" id="1" name="ZahlungsZeitplan" displayName="ZahlungsZeitplan" ref="B13:K373" totalsRowShown="0" headerRowDxfId="11" dataDxfId="10">
  <tableColumns count="10">
    <tableColumn id="1" name="#" dataDxfId="9" dataCellStyle="Nummer">
      <calculatedColumnFormula>IF(DarlehenIstGut,IF(ROW()-ROW(ZahlungsZeitplan[[#Headers],['#]])&gt;PlanmäßigeAnzahlZahlungen,"",ROW()-ROW(ZahlungsZeitplan[[#Headers],['#]])),"")</calculatedColumnFormula>
    </tableColumn>
    <tableColumn id="2" name="ZAHLUNGSTERMIN" dataDxfId="8" dataCellStyle="Datum">
      <calculatedColumnFormula>IF(ZahlungsZeitplan[[#This Row],['#]]&lt;&gt;"",EOMONTH(DarlehensAnfangsDatum,ROW(ZahlungsZeitplan[[#This Row],['#]])-ROW(ZahlungsZeitplan[[#Headers],['#]])-2)+DAY(DarlehensAnfangsDatum),"")</calculatedColumnFormula>
    </tableColumn>
    <tableColumn id="3" name="ANFANGSSALDO" dataDxfId="7" dataCellStyle="Tabellenbetrag">
      <calculatedColumnFormula>IF(ZahlungsZeitplan[[#This Row],['#]]&lt;&gt;"",IF(ROW()-ROW(ZahlungsZeitplan[[#Headers],[ANFANGSSALDO]])=1,DarlehensBetrag,INDEX(ZahlungsZeitplan[ENDSALDO],ROW()-ROW(ZahlungsZeitplan[[#Headers],[ANFANGSSALDO]])-1)),"")</calculatedColumnFormula>
    </tableColumn>
    <tableColumn id="4" name="Zahlungen (Plan)" dataDxfId="6" dataCellStyle="Tabellenbetrag">
      <calculatedColumnFormula>IF(ZahlungsZeitplan[[#This Row],['#]]&lt;&gt;"",PlanmäßigeZahlung,"")</calculatedColumnFormula>
    </tableColumn>
    <tableColumn id="5" name="SONDERZAHLUNG" dataDxfId="5" dataCellStyle="Tabellenbetrag">
      <calculatedColumnFormula>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calculatedColumnFormula>
    </tableColumn>
    <tableColumn id="6" name="GESAMTZAHLUNG" dataDxfId="4" dataCellStyle="Tabellenbetrag">
      <calculatedColumnFormula>IF(ZahlungsZeitplan[[#This Row],['#]]&lt;&gt;"",IF(ZahlungsZeitplan[[#This Row],[Zahlungen (Plan)]]+ZahlungsZeitplan[[#This Row],[SONDERZAHLUNG]]&lt;=ZahlungsZeitplan[[#This Row],[ANFANGSSALDO]],ZahlungsZeitplan[[#This Row],[Zahlungen (Plan)]]+ZahlungsZeitplan[[#This Row],[SONDERZAHLUNG]],ZahlungsZeitplan[[#This Row],[ANFANGSSALDO]]),"")</calculatedColumnFormula>
    </tableColumn>
    <tableColumn id="7" name="KAPITAL" dataDxfId="3" dataCellStyle="Tabellenbetrag">
      <calculatedColumnFormula>IF(ZahlungsZeitplan[[#This Row],['#]]&lt;&gt;"",ZahlungsZeitplan[[#This Row],[GESAMTZAHLUNG]]-ZahlungsZeitplan[[#This Row],[ZINSEN]],"")</calculatedColumnFormula>
    </tableColumn>
    <tableColumn id="8" name="ZINSEN" dataDxfId="2" dataCellStyle="Tabellenbetrag">
      <calculatedColumnFormula>IF(ZahlungsZeitplan[[#This Row],['#]]&lt;=($D$8*12),IF(ZahlungsZeitplan[[#This Row],['#]]&lt;&gt;"",ZahlungsZeitplan[[#This Row],[ANFANGSSALDO]]*(ZinsSatz/ZahlungenProJahr),""),IF(ZahlungsZeitplan[[#This Row],['#]]&lt;&gt;"",ZahlungsZeitplan[[#This Row],[ANFANGSSALDO]]*((ZinsSatz+$D$9)/ZahlungenProJahr),""))</calculatedColumnFormula>
    </tableColumn>
    <tableColumn id="9" name="ENDSALDO" dataDxfId="1" dataCellStyle="Tabellenbetrag">
      <calculatedColumnFormula>IF(ZahlungsZeitplan[[#This Row],['#]]&lt;&gt;"",IF(ZahlungsZeitplan[[#This Row],[Zahlungen (Plan)]]+ZahlungsZeitplan[[#This Row],[SONDERZAHLUNG]]&lt;=ZahlungsZeitplan[[#This Row],[ANFANGSSALDO]],ZahlungsZeitplan[[#This Row],[ANFANGSSALDO]]-ZahlungsZeitplan[[#This Row],[KAPITAL]],0),"")</calculatedColumnFormula>
    </tableColumn>
    <tableColumn id="10" name="ZINSEN (kumiliert)" dataDxfId="0" dataCellStyle="Tabellenbetrag">
      <calculatedColumnFormula>IF(ZahlungsZeitplan[[#This Row],['#]]&lt;&gt;"",SUM(INDEX(ZahlungsZeitplan[ZINSEN],1,1):ZahlungsZeitplan[[#This Row],[ZINSEN]]),"")</calculatedColumnFormula>
    </tableColumn>
  </tableColumns>
  <tableStyleInfo name="TableStyleDark4" showFirstColumn="0" showLastColumn="0" showRowStripes="1" showColumnStripes="0"/>
  <extLst>
    <ext xmlns:x14="http://schemas.microsoft.com/office/spreadsheetml/2009/9/main" uri="{504A1905-F514-4f6f-8877-14C23A59335A}">
      <x14:table altTextSummary="Verfolgen Sie Zahlungsnummer, Zahlungsdatum, Anfangssaldo, Endsaldo, planmäßige Zahlung, außerplanmäßige Zahlung, kapitalisierten Betrag, Zinsen und kumulierte Zinsbeträge nach"/>
    </ext>
  </extLst>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1" tint="0.499984740745262"/>
  </sheetPr>
  <dimension ref="B1:D88"/>
  <sheetViews>
    <sheetView showGridLines="0" zoomScaleNormal="100" workbookViewId="0">
      <pane ySplit="2" topLeftCell="A3" activePane="bottomLeft" state="frozen"/>
      <selection activeCell="E33" sqref="E33"/>
      <selection pane="bottomLeft" activeCell="C12" sqref="C12"/>
    </sheetView>
  </sheetViews>
  <sheetFormatPr baseColWidth="10" defaultColWidth="13.140625" defaultRowHeight="12.75"/>
  <cols>
    <col min="1" max="1" width="2.28515625" style="142" bestFit="1" customWidth="1"/>
    <col min="2" max="2" width="41.28515625" style="142" bestFit="1" customWidth="1"/>
    <col min="3" max="3" width="22" style="180" bestFit="1" customWidth="1"/>
    <col min="4" max="4" width="102.7109375" style="142" bestFit="1" customWidth="1"/>
    <col min="5" max="16384" width="13.140625" style="142"/>
  </cols>
  <sheetData>
    <row r="1" spans="2:4" s="199" customFormat="1">
      <c r="B1" s="198" t="s">
        <v>186</v>
      </c>
      <c r="C1" s="198" t="s">
        <v>184</v>
      </c>
      <c r="D1" s="198" t="s">
        <v>228</v>
      </c>
    </row>
    <row r="2" spans="2:4" ht="18">
      <c r="B2" s="263" t="s">
        <v>182</v>
      </c>
      <c r="C2" s="264"/>
      <c r="D2" s="143" t="s">
        <v>185</v>
      </c>
    </row>
    <row r="3" spans="2:4" s="146" customFormat="1" ht="5.25">
      <c r="B3" s="144"/>
      <c r="C3" s="145"/>
    </row>
    <row r="4" spans="2:4">
      <c r="B4" s="262" t="s">
        <v>173</v>
      </c>
      <c r="C4" s="262"/>
      <c r="D4" s="262"/>
    </row>
    <row r="5" spans="2:4">
      <c r="B5" s="148" t="s">
        <v>183</v>
      </c>
      <c r="C5" s="149" t="s">
        <v>181</v>
      </c>
      <c r="D5" s="201" t="s">
        <v>218</v>
      </c>
    </row>
    <row r="6" spans="2:4">
      <c r="B6" s="150" t="s">
        <v>145</v>
      </c>
      <c r="C6" s="151">
        <v>1980</v>
      </c>
      <c r="D6" s="201" t="s">
        <v>70</v>
      </c>
    </row>
    <row r="7" spans="2:4">
      <c r="B7" s="152" t="s">
        <v>7</v>
      </c>
      <c r="C7" s="153">
        <v>77</v>
      </c>
      <c r="D7" s="201" t="s">
        <v>219</v>
      </c>
    </row>
    <row r="8" spans="2:4">
      <c r="B8" s="154"/>
      <c r="C8" s="155"/>
    </row>
    <row r="9" spans="2:4">
      <c r="B9" s="262" t="s">
        <v>2</v>
      </c>
      <c r="C9" s="262"/>
      <c r="D9" s="262"/>
    </row>
    <row r="10" spans="2:4">
      <c r="B10" s="148" t="s">
        <v>39</v>
      </c>
      <c r="C10" s="156">
        <v>150000</v>
      </c>
      <c r="D10" s="201" t="s">
        <v>220</v>
      </c>
    </row>
    <row r="11" spans="2:4">
      <c r="B11" s="148" t="s">
        <v>144</v>
      </c>
      <c r="C11" s="156">
        <v>35000</v>
      </c>
      <c r="D11" s="201" t="s">
        <v>221</v>
      </c>
    </row>
    <row r="12" spans="2:4">
      <c r="B12" s="157" t="s">
        <v>157</v>
      </c>
      <c r="C12" s="200">
        <f>C35</f>
        <v>13000</v>
      </c>
      <c r="D12" s="201" t="s">
        <v>222</v>
      </c>
    </row>
    <row r="13" spans="2:4">
      <c r="B13" s="148" t="s">
        <v>76</v>
      </c>
      <c r="C13" s="200">
        <f>$C$10-$C$11+($C$10*$C$26)</f>
        <v>133855</v>
      </c>
      <c r="D13" s="202" t="s">
        <v>224</v>
      </c>
    </row>
    <row r="14" spans="2:4">
      <c r="B14" s="157" t="s">
        <v>65</v>
      </c>
      <c r="C14" s="158">
        <v>1.49E-2</v>
      </c>
      <c r="D14" s="201" t="s">
        <v>225</v>
      </c>
    </row>
    <row r="15" spans="2:4">
      <c r="B15" s="148" t="s">
        <v>68</v>
      </c>
      <c r="C15" s="159">
        <v>10</v>
      </c>
      <c r="D15" s="201" t="s">
        <v>226</v>
      </c>
    </row>
    <row r="16" spans="2:4">
      <c r="B16" s="148" t="s">
        <v>67</v>
      </c>
      <c r="C16" s="159">
        <v>20</v>
      </c>
      <c r="D16" s="201" t="s">
        <v>227</v>
      </c>
    </row>
    <row r="17" spans="2:4">
      <c r="B17" s="148" t="s">
        <v>66</v>
      </c>
      <c r="C17" s="160">
        <v>2.5000000000000001E-2</v>
      </c>
      <c r="D17" s="201" t="s">
        <v>229</v>
      </c>
    </row>
    <row r="18" spans="2:4" s="146" customFormat="1" ht="5.25">
      <c r="B18" s="144"/>
      <c r="C18" s="145"/>
    </row>
    <row r="19" spans="2:4">
      <c r="B19" s="161" t="s">
        <v>147</v>
      </c>
      <c r="C19" s="162">
        <v>0.95</v>
      </c>
      <c r="D19" s="201" t="s">
        <v>247</v>
      </c>
    </row>
    <row r="20" spans="2:4">
      <c r="B20" s="163" t="s">
        <v>154</v>
      </c>
      <c r="C20" s="162">
        <v>0.8</v>
      </c>
      <c r="D20" s="201" t="s">
        <v>248</v>
      </c>
    </row>
    <row r="21" spans="2:4">
      <c r="B21" s="164" t="s">
        <v>146</v>
      </c>
      <c r="C21" s="162">
        <v>0.02</v>
      </c>
      <c r="D21" s="201" t="s">
        <v>249</v>
      </c>
    </row>
    <row r="22" spans="2:4" s="146" customFormat="1" ht="5.25">
      <c r="B22" s="144"/>
      <c r="C22" s="145"/>
    </row>
    <row r="23" spans="2:4">
      <c r="B23" s="148" t="s">
        <v>79</v>
      </c>
      <c r="C23" s="165">
        <v>12</v>
      </c>
      <c r="D23" s="201" t="s">
        <v>246</v>
      </c>
    </row>
    <row r="24" spans="2:4">
      <c r="B24" s="154"/>
      <c r="C24" s="155"/>
    </row>
    <row r="25" spans="2:4">
      <c r="B25" s="262" t="s">
        <v>155</v>
      </c>
      <c r="C25" s="262"/>
      <c r="D25" s="262"/>
    </row>
    <row r="26" spans="2:4">
      <c r="B26" s="166" t="s">
        <v>187</v>
      </c>
      <c r="C26" s="167">
        <f>SUM(C27:C31)</f>
        <v>0.12570000000000001</v>
      </c>
      <c r="D26" s="201" t="s">
        <v>236</v>
      </c>
    </row>
    <row r="27" spans="2:4">
      <c r="B27" s="157" t="s">
        <v>15</v>
      </c>
      <c r="C27" s="158">
        <v>3.5700000000000003E-2</v>
      </c>
      <c r="D27" s="201" t="s">
        <v>230</v>
      </c>
    </row>
    <row r="28" spans="2:4">
      <c r="B28" s="157" t="s">
        <v>17</v>
      </c>
      <c r="C28" s="158">
        <v>1.2999999999999999E-2</v>
      </c>
      <c r="D28" s="201" t="s">
        <v>231</v>
      </c>
    </row>
    <row r="29" spans="2:4">
      <c r="B29" s="157" t="s">
        <v>18</v>
      </c>
      <c r="C29" s="158">
        <v>0.01</v>
      </c>
      <c r="D29" s="201" t="s">
        <v>232</v>
      </c>
    </row>
    <row r="30" spans="2:4">
      <c r="B30" s="157" t="s">
        <v>21</v>
      </c>
      <c r="C30" s="158">
        <v>6.5000000000000002E-2</v>
      </c>
      <c r="D30" s="201" t="s">
        <v>233</v>
      </c>
    </row>
    <row r="31" spans="2:4">
      <c r="B31" s="157" t="s">
        <v>26</v>
      </c>
      <c r="C31" s="158">
        <v>2E-3</v>
      </c>
      <c r="D31" s="201" t="s">
        <v>234</v>
      </c>
    </row>
    <row r="32" spans="2:4">
      <c r="B32" s="168" t="s">
        <v>156</v>
      </c>
      <c r="C32" s="172">
        <f>$C$26*$C$10</f>
        <v>18855</v>
      </c>
      <c r="D32" s="201" t="s">
        <v>235</v>
      </c>
    </row>
    <row r="33" spans="2:4">
      <c r="B33" s="170"/>
      <c r="C33" s="171"/>
    </row>
    <row r="34" spans="2:4">
      <c r="B34" s="259" t="s">
        <v>188</v>
      </c>
      <c r="C34" s="260"/>
      <c r="D34" s="261"/>
    </row>
    <row r="35" spans="2:4">
      <c r="B35" s="166" t="s">
        <v>187</v>
      </c>
      <c r="C35" s="172">
        <f>SUM(C36:C42)</f>
        <v>13000</v>
      </c>
      <c r="D35" s="201" t="s">
        <v>254</v>
      </c>
    </row>
    <row r="36" spans="2:4">
      <c r="B36" s="157" t="s">
        <v>149</v>
      </c>
      <c r="C36" s="169">
        <v>10000</v>
      </c>
      <c r="D36" s="201" t="s">
        <v>250</v>
      </c>
    </row>
    <row r="37" spans="2:4">
      <c r="B37" s="157" t="s">
        <v>150</v>
      </c>
      <c r="C37" s="169">
        <v>0</v>
      </c>
      <c r="D37" s="201" t="s">
        <v>250</v>
      </c>
    </row>
    <row r="38" spans="2:4">
      <c r="B38" s="157" t="s">
        <v>117</v>
      </c>
      <c r="C38" s="169">
        <v>1000</v>
      </c>
      <c r="D38" s="201" t="s">
        <v>250</v>
      </c>
    </row>
    <row r="39" spans="2:4">
      <c r="B39" s="157" t="s">
        <v>118</v>
      </c>
      <c r="C39" s="169">
        <v>1000</v>
      </c>
      <c r="D39" s="201" t="s">
        <v>250</v>
      </c>
    </row>
    <row r="40" spans="2:4">
      <c r="B40" s="157" t="s">
        <v>151</v>
      </c>
      <c r="C40" s="169">
        <v>1000</v>
      </c>
      <c r="D40" s="201" t="s">
        <v>250</v>
      </c>
    </row>
    <row r="41" spans="2:4">
      <c r="B41" s="157" t="s">
        <v>152</v>
      </c>
      <c r="C41" s="169">
        <v>0</v>
      </c>
      <c r="D41" s="201" t="s">
        <v>250</v>
      </c>
    </row>
    <row r="42" spans="2:4">
      <c r="B42" s="157" t="s">
        <v>119</v>
      </c>
      <c r="C42" s="169">
        <v>0</v>
      </c>
      <c r="D42" s="201" t="s">
        <v>250</v>
      </c>
    </row>
    <row r="43" spans="2:4">
      <c r="B43" s="161" t="s">
        <v>148</v>
      </c>
      <c r="C43" s="173">
        <v>0.7</v>
      </c>
      <c r="D43" s="201" t="s">
        <v>251</v>
      </c>
    </row>
    <row r="44" spans="2:4">
      <c r="B44" s="170"/>
      <c r="C44" s="171"/>
    </row>
    <row r="45" spans="2:4">
      <c r="B45" s="262" t="s">
        <v>256</v>
      </c>
      <c r="C45" s="262"/>
      <c r="D45" s="262"/>
    </row>
    <row r="46" spans="2:4">
      <c r="B46" s="166" t="s">
        <v>158</v>
      </c>
      <c r="C46" s="174">
        <f>SUM(C47:C48)</f>
        <v>610</v>
      </c>
      <c r="D46" s="201" t="s">
        <v>252</v>
      </c>
    </row>
    <row r="47" spans="2:4">
      <c r="B47" s="157" t="s">
        <v>189</v>
      </c>
      <c r="C47" s="156">
        <v>560</v>
      </c>
      <c r="D47" s="201" t="s">
        <v>82</v>
      </c>
    </row>
    <row r="48" spans="2:4">
      <c r="B48" s="157" t="s">
        <v>190</v>
      </c>
      <c r="C48" s="156">
        <v>50</v>
      </c>
      <c r="D48" s="201" t="s">
        <v>253</v>
      </c>
    </row>
    <row r="49" spans="2:4">
      <c r="B49" s="170"/>
      <c r="C49" s="155"/>
    </row>
    <row r="50" spans="2:4">
      <c r="B50" s="262" t="s">
        <v>1</v>
      </c>
      <c r="C50" s="262"/>
      <c r="D50" s="147" t="s">
        <v>185</v>
      </c>
    </row>
    <row r="51" spans="2:4">
      <c r="B51" s="175" t="s">
        <v>203</v>
      </c>
      <c r="C51" s="174">
        <f>SUM(C52:C56)+(C58/3)</f>
        <v>216.66666666666666</v>
      </c>
      <c r="D51" s="201" t="s">
        <v>241</v>
      </c>
    </row>
    <row r="52" spans="2:4">
      <c r="B52" s="157" t="s">
        <v>195</v>
      </c>
      <c r="C52" s="169">
        <v>100</v>
      </c>
      <c r="D52" s="201" t="s">
        <v>238</v>
      </c>
    </row>
    <row r="53" spans="2:4">
      <c r="B53" s="157" t="s">
        <v>196</v>
      </c>
      <c r="C53" s="169">
        <v>10</v>
      </c>
      <c r="D53" s="201" t="s">
        <v>238</v>
      </c>
    </row>
    <row r="54" spans="2:4">
      <c r="B54" s="157" t="s">
        <v>197</v>
      </c>
      <c r="C54" s="169">
        <v>25</v>
      </c>
      <c r="D54" s="201" t="s">
        <v>238</v>
      </c>
    </row>
    <row r="55" spans="2:4">
      <c r="B55" s="157" t="s">
        <v>198</v>
      </c>
      <c r="C55" s="169">
        <v>15</v>
      </c>
      <c r="D55" s="201" t="s">
        <v>238</v>
      </c>
    </row>
    <row r="56" spans="2:4">
      <c r="B56" s="157" t="s">
        <v>199</v>
      </c>
      <c r="C56" s="169">
        <v>50</v>
      </c>
      <c r="D56" s="201" t="s">
        <v>239</v>
      </c>
    </row>
    <row r="57" spans="2:4" s="146" customFormat="1" ht="5.25">
      <c r="B57" s="144"/>
      <c r="C57" s="145"/>
    </row>
    <row r="58" spans="2:4">
      <c r="B58" s="157" t="s">
        <v>163</v>
      </c>
      <c r="C58" s="169">
        <v>50</v>
      </c>
      <c r="D58" s="201" t="s">
        <v>244</v>
      </c>
    </row>
    <row r="59" spans="2:4">
      <c r="B59" s="170"/>
      <c r="C59" s="155"/>
    </row>
    <row r="60" spans="2:4">
      <c r="B60" s="175" t="s">
        <v>204</v>
      </c>
      <c r="C60" s="174">
        <f>SUM(C61:C63)</f>
        <v>140</v>
      </c>
      <c r="D60" s="201" t="s">
        <v>240</v>
      </c>
    </row>
    <row r="61" spans="2:4">
      <c r="B61" s="157" t="s">
        <v>200</v>
      </c>
      <c r="C61" s="176">
        <v>30</v>
      </c>
      <c r="D61" s="201" t="s">
        <v>238</v>
      </c>
    </row>
    <row r="62" spans="2:4">
      <c r="B62" s="157" t="s">
        <v>201</v>
      </c>
      <c r="C62" s="177">
        <v>80</v>
      </c>
      <c r="D62" s="201" t="s">
        <v>238</v>
      </c>
    </row>
    <row r="63" spans="2:4">
      <c r="B63" s="157" t="s">
        <v>202</v>
      </c>
      <c r="C63" s="176">
        <v>30</v>
      </c>
      <c r="D63" s="201" t="s">
        <v>238</v>
      </c>
    </row>
    <row r="64" spans="2:4">
      <c r="B64" s="170"/>
      <c r="C64" s="155"/>
    </row>
    <row r="65" spans="2:4">
      <c r="B65" s="257" t="s">
        <v>237</v>
      </c>
      <c r="C65" s="258">
        <f>C67-C66</f>
        <v>-139.99999999999997</v>
      </c>
      <c r="D65" s="256" t="s">
        <v>255</v>
      </c>
    </row>
    <row r="66" spans="2:4">
      <c r="B66" s="157" t="s">
        <v>191</v>
      </c>
      <c r="C66" s="178">
        <f>C51+C60</f>
        <v>356.66666666666663</v>
      </c>
      <c r="D66" s="201" t="s">
        <v>243</v>
      </c>
    </row>
    <row r="67" spans="2:4">
      <c r="B67" s="157" t="s">
        <v>192</v>
      </c>
      <c r="C67" s="178">
        <f>C51</f>
        <v>216.66666666666666</v>
      </c>
      <c r="D67" s="201" t="s">
        <v>242</v>
      </c>
    </row>
    <row r="68" spans="2:4">
      <c r="B68" s="154"/>
      <c r="C68" s="155"/>
    </row>
    <row r="69" spans="2:4">
      <c r="C69" s="142"/>
    </row>
    <row r="70" spans="2:4">
      <c r="C70" s="142"/>
    </row>
    <row r="71" spans="2:4">
      <c r="C71" s="142"/>
    </row>
    <row r="72" spans="2:4">
      <c r="C72" s="142"/>
    </row>
    <row r="73" spans="2:4">
      <c r="C73" s="142"/>
    </row>
    <row r="74" spans="2:4">
      <c r="C74" s="142"/>
    </row>
    <row r="75" spans="2:4">
      <c r="C75" s="142"/>
    </row>
    <row r="76" spans="2:4">
      <c r="C76" s="142"/>
    </row>
    <row r="77" spans="2:4">
      <c r="C77" s="142"/>
    </row>
    <row r="78" spans="2:4">
      <c r="C78" s="142"/>
    </row>
    <row r="79" spans="2:4">
      <c r="C79" s="142"/>
    </row>
    <row r="80" spans="2:4">
      <c r="C80" s="142"/>
    </row>
    <row r="81" spans="2:3">
      <c r="B81" s="154"/>
      <c r="C81" s="155"/>
    </row>
    <row r="88" spans="2:3">
      <c r="B88" s="179"/>
    </row>
  </sheetData>
  <mergeCells count="7">
    <mergeCell ref="B50:C50"/>
    <mergeCell ref="B45:D45"/>
    <mergeCell ref="B34:D34"/>
    <mergeCell ref="B25:D25"/>
    <mergeCell ref="B9:D9"/>
    <mergeCell ref="B4:D4"/>
    <mergeCell ref="B2:C2"/>
  </mergeCells>
  <dataValidations disablePrompts="1" count="2">
    <dataValidation type="list" allowBlank="1" showDropDown="1" showInputMessage="1" showErrorMessage="1" sqref="C15">
      <formula1>"5,10,15"</formula1>
    </dataValidation>
    <dataValidation type="date" operator="greaterThanOrEqual" allowBlank="1" showInputMessage="1" showErrorMessage="1" errorTitle="Datum" error="Bitte geben Sie ein gültiges Datum ein (1. Januar 1900 oder später)." sqref="C23">
      <formula1>1</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1" tint="0.249977111117893"/>
    <pageSetUpPr fitToPage="1"/>
  </sheetPr>
  <dimension ref="A1:T44"/>
  <sheetViews>
    <sheetView showGridLines="0" tabSelected="1" zoomScaleNormal="100" workbookViewId="0">
      <pane ySplit="2" topLeftCell="A3" activePane="bottomLeft" state="frozen"/>
      <selection activeCell="F17" sqref="A1:XFD1048576"/>
      <selection pane="bottomLeft" activeCell="B2" sqref="B2:C2"/>
    </sheetView>
  </sheetViews>
  <sheetFormatPr baseColWidth="10" defaultColWidth="9.140625" defaultRowHeight="14.25"/>
  <cols>
    <col min="1" max="1" width="1.85546875" style="251" bestFit="1" customWidth="1"/>
    <col min="2" max="2" width="16.28515625" style="252" bestFit="1" customWidth="1"/>
    <col min="3" max="3" width="9" style="252" bestFit="1" customWidth="1"/>
    <col min="4" max="4" width="12.85546875" style="252" bestFit="1" customWidth="1"/>
    <col min="5" max="5" width="11.7109375" style="252" bestFit="1" customWidth="1"/>
    <col min="6" max="6" width="2" style="1" bestFit="1" customWidth="1"/>
    <col min="7" max="7" width="31.140625" style="252" bestFit="1" customWidth="1"/>
    <col min="8" max="8" width="9.140625" style="252" bestFit="1" customWidth="1"/>
    <col min="9" max="9" width="2" style="1" bestFit="1" customWidth="1"/>
    <col min="10" max="10" width="29.7109375" style="252" bestFit="1" customWidth="1"/>
    <col min="11" max="11" width="6.140625" style="252" bestFit="1" customWidth="1"/>
    <col min="12" max="12" width="2" style="1" bestFit="1" customWidth="1"/>
    <col min="13" max="13" width="28" style="1" bestFit="1" customWidth="1"/>
    <col min="14" max="14" width="9" style="1" bestFit="1" customWidth="1"/>
    <col min="15" max="15" width="2" style="1" bestFit="1" customWidth="1"/>
    <col min="16" max="16" width="31.7109375" style="252" bestFit="1" customWidth="1"/>
    <col min="17" max="17" width="7.7109375" style="252" bestFit="1" customWidth="1"/>
    <col min="18" max="18" width="3.7109375" style="252" bestFit="1" customWidth="1"/>
    <col min="19" max="19" width="3.28515625" style="252" customWidth="1"/>
    <col min="20" max="16384" width="9.140625" style="252"/>
  </cols>
  <sheetData>
    <row r="1" spans="1:20" s="205" customFormat="1" ht="6" thickBot="1">
      <c r="A1" s="204"/>
      <c r="B1" s="205" t="s">
        <v>223</v>
      </c>
      <c r="C1" s="205" t="s">
        <v>93</v>
      </c>
      <c r="D1" s="205" t="s">
        <v>94</v>
      </c>
      <c r="E1" s="205" t="s">
        <v>216</v>
      </c>
      <c r="G1" s="205" t="s">
        <v>95</v>
      </c>
      <c r="H1" s="205" t="s">
        <v>96</v>
      </c>
      <c r="J1" s="205" t="s">
        <v>97</v>
      </c>
      <c r="K1" s="205" t="s">
        <v>98</v>
      </c>
      <c r="M1" s="205" t="s">
        <v>99</v>
      </c>
      <c r="N1" s="205" t="s">
        <v>93</v>
      </c>
      <c r="P1" s="205" t="s">
        <v>212</v>
      </c>
      <c r="Q1" s="205" t="s">
        <v>100</v>
      </c>
      <c r="R1" s="205" t="s">
        <v>71</v>
      </c>
    </row>
    <row r="2" spans="1:20" s="2" customFormat="1" ht="18.75" thickBot="1">
      <c r="A2" s="251"/>
      <c r="B2" s="300" t="s">
        <v>245</v>
      </c>
      <c r="C2" s="301"/>
      <c r="D2" s="298" t="str">
        <f>Immobilie!$C$5</f>
        <v>Meine Immobilie</v>
      </c>
      <c r="E2" s="299"/>
      <c r="F2" s="1"/>
      <c r="G2" s="294" t="s">
        <v>0</v>
      </c>
      <c r="H2" s="295"/>
      <c r="I2" s="1"/>
      <c r="J2" s="294" t="s">
        <v>1</v>
      </c>
      <c r="K2" s="295"/>
      <c r="L2" s="1"/>
      <c r="M2" s="294" t="s">
        <v>2</v>
      </c>
      <c r="N2" s="295"/>
      <c r="O2" s="1"/>
      <c r="P2" s="294" t="s">
        <v>64</v>
      </c>
      <c r="Q2" s="295"/>
    </row>
    <row r="3" spans="1:20" s="3" customFormat="1" ht="6" thickBot="1">
      <c r="A3" s="109"/>
    </row>
    <row r="4" spans="1:20" ht="15" thickBot="1">
      <c r="B4" s="265" t="s">
        <v>153</v>
      </c>
      <c r="C4" s="266"/>
      <c r="D4" s="266"/>
      <c r="E4" s="267"/>
      <c r="G4" s="268" t="s">
        <v>81</v>
      </c>
      <c r="H4" s="269"/>
      <c r="J4" s="265" t="s">
        <v>205</v>
      </c>
      <c r="K4" s="267"/>
      <c r="M4" s="268" t="s">
        <v>4</v>
      </c>
      <c r="N4" s="269"/>
      <c r="P4" s="268" t="s">
        <v>107</v>
      </c>
      <c r="Q4" s="269"/>
    </row>
    <row r="5" spans="1:20" ht="15" thickBot="1">
      <c r="B5" s="11" t="s">
        <v>7</v>
      </c>
      <c r="C5" s="12">
        <f>Immobilie!$C$7</f>
        <v>77</v>
      </c>
      <c r="D5" s="13" t="s">
        <v>70</v>
      </c>
      <c r="E5" s="14">
        <f>Immobilie!$C$6</f>
        <v>1980</v>
      </c>
      <c r="G5" s="4" t="s">
        <v>110</v>
      </c>
      <c r="H5" s="5">
        <f>Immobilie!$C$47</f>
        <v>560</v>
      </c>
      <c r="J5" s="6" t="s">
        <v>193</v>
      </c>
      <c r="K5" s="7">
        <f>Immobilie!$C$51</f>
        <v>216.66666666666666</v>
      </c>
      <c r="M5" s="6" t="s">
        <v>5</v>
      </c>
      <c r="N5" s="8">
        <f>Immobilie!$C$13</f>
        <v>133855</v>
      </c>
      <c r="P5" s="9" t="s">
        <v>166</v>
      </c>
      <c r="Q5" s="10">
        <f>H19</f>
        <v>7320</v>
      </c>
    </row>
    <row r="6" spans="1:20" ht="15" thickBot="1">
      <c r="B6" s="1"/>
      <c r="C6" s="1"/>
      <c r="D6" s="1"/>
      <c r="E6" s="1"/>
      <c r="G6" s="15" t="s">
        <v>115</v>
      </c>
      <c r="H6" s="16">
        <f>H5/C5</f>
        <v>7.2727272727272725</v>
      </c>
      <c r="J6" s="17" t="s">
        <v>194</v>
      </c>
      <c r="K6" s="18">
        <f>Immobilie!$C$60</f>
        <v>140</v>
      </c>
      <c r="M6" s="17" t="s">
        <v>6</v>
      </c>
      <c r="N6" s="19">
        <f>Immobilie!$C$11+Immobilie!$C$12</f>
        <v>48000</v>
      </c>
      <c r="P6" s="20" t="s">
        <v>101</v>
      </c>
      <c r="Q6" s="21">
        <f>Q5/(D8+E23)</f>
        <v>4.49079754601227E-2</v>
      </c>
    </row>
    <row r="7" spans="1:20" ht="15" thickBot="1">
      <c r="B7" s="265" t="s">
        <v>10</v>
      </c>
      <c r="C7" s="266"/>
      <c r="D7" s="266"/>
      <c r="E7" s="267"/>
      <c r="G7" s="4" t="s">
        <v>8</v>
      </c>
      <c r="H7" s="22">
        <f>Immobilie!$C$48</f>
        <v>50</v>
      </c>
      <c r="J7" s="23" t="s">
        <v>73</v>
      </c>
      <c r="K7" s="24">
        <f>ABS(K6)/H13</f>
        <v>0.22950819672131148</v>
      </c>
      <c r="M7" s="17" t="s">
        <v>177</v>
      </c>
      <c r="N7" s="19">
        <f>Immobilie!$C$12</f>
        <v>13000</v>
      </c>
      <c r="P7" s="9" t="s">
        <v>165</v>
      </c>
      <c r="Q7" s="25">
        <f>H19+(K6*12)</f>
        <v>9000</v>
      </c>
    </row>
    <row r="8" spans="1:20" ht="15" thickBot="1">
      <c r="B8" s="290" t="str">
        <f>IF(C27=1,"Gib einen Kaufpreis ein","Kaufpreis")</f>
        <v>Kaufpreis</v>
      </c>
      <c r="C8" s="291"/>
      <c r="D8" s="292">
        <f>Immobilie!$C$10</f>
        <v>150000</v>
      </c>
      <c r="E8" s="293"/>
      <c r="G8" s="26" t="s">
        <v>169</v>
      </c>
      <c r="H8" s="27">
        <f>H5+H7</f>
        <v>610</v>
      </c>
      <c r="J8" s="20" t="s">
        <v>9</v>
      </c>
      <c r="K8" s="28">
        <f>ABS(K5)+ABS(K6)</f>
        <v>356.66666666666663</v>
      </c>
      <c r="M8" s="17" t="s">
        <v>20</v>
      </c>
      <c r="N8" s="29">
        <f>Immobilie!$C$14</f>
        <v>1.49E-2</v>
      </c>
      <c r="P8" s="11" t="s">
        <v>102</v>
      </c>
      <c r="Q8" s="30">
        <f>Q7/(D8+E23)</f>
        <v>5.5214723926380369E-2</v>
      </c>
    </row>
    <row r="9" spans="1:20" ht="15" thickBot="1">
      <c r="B9" s="286" t="s">
        <v>72</v>
      </c>
      <c r="C9" s="287"/>
      <c r="D9" s="288">
        <f>D8/C5</f>
        <v>1948.0519480519481</v>
      </c>
      <c r="E9" s="289"/>
      <c r="G9" s="31" t="s">
        <v>123</v>
      </c>
      <c r="H9" s="32">
        <f>Immobilie!$C$67</f>
        <v>216.66666666666666</v>
      </c>
      <c r="J9" s="1"/>
      <c r="K9" s="33"/>
      <c r="M9" s="17" t="s">
        <v>24</v>
      </c>
      <c r="N9" s="34">
        <f ca="1">Darlehen!$G$6</f>
        <v>4.3244808899957098E-2</v>
      </c>
      <c r="P9" s="35" t="s">
        <v>109</v>
      </c>
      <c r="Q9" s="36">
        <f>Q7/(D8+E16+E23)</f>
        <v>4.9489978279398425E-2</v>
      </c>
    </row>
    <row r="10" spans="1:20" ht="15.75" thickTop="1" thickBot="1">
      <c r="B10" s="286" t="s">
        <v>108</v>
      </c>
      <c r="C10" s="287"/>
      <c r="D10" s="296">
        <f>(D8+E23)/H19</f>
        <v>22.26775956284153</v>
      </c>
      <c r="E10" s="297"/>
      <c r="G10" s="37" t="s">
        <v>91</v>
      </c>
      <c r="H10" s="38">
        <f>H8+H9</f>
        <v>826.66666666666663</v>
      </c>
      <c r="J10" s="265" t="s">
        <v>206</v>
      </c>
      <c r="K10" s="267"/>
      <c r="M10" s="39" t="s">
        <v>113</v>
      </c>
      <c r="N10" s="40">
        <f>Immobilie!$C$13/Immobilie!$C$10</f>
        <v>0.89236666666666664</v>
      </c>
      <c r="P10" s="11" t="s">
        <v>43</v>
      </c>
      <c r="Q10" s="30">
        <f ca="1">(Q7-(N15*12))/N6</f>
        <v>0.14594917708333333</v>
      </c>
    </row>
    <row r="11" spans="1:20" ht="15" thickBot="1">
      <c r="B11" s="280" t="s">
        <v>15</v>
      </c>
      <c r="C11" s="281"/>
      <c r="D11" s="44">
        <f>Immobilie!$C$27</f>
        <v>3.5700000000000003E-2</v>
      </c>
      <c r="E11" s="45">
        <f>D11*$D$8</f>
        <v>5355</v>
      </c>
      <c r="J11" s="41" t="s">
        <v>124</v>
      </c>
      <c r="K11" s="42">
        <f>Immobilie!$C$67</f>
        <v>216.66666666666666</v>
      </c>
      <c r="M11" s="11" t="s">
        <v>11</v>
      </c>
      <c r="N11" s="43">
        <f ca="1">PlanmäßigeZahlung</f>
        <v>645.29573460105871</v>
      </c>
    </row>
    <row r="12" spans="1:20" ht="15" thickBot="1">
      <c r="B12" s="280" t="s">
        <v>17</v>
      </c>
      <c r="C12" s="281"/>
      <c r="D12" s="44">
        <f>Immobilie!$C$28</f>
        <v>1.2999999999999999E-2</v>
      </c>
      <c r="E12" s="45">
        <f>D12*$D$8</f>
        <v>1950</v>
      </c>
      <c r="G12" s="268" t="s">
        <v>3</v>
      </c>
      <c r="H12" s="269"/>
      <c r="J12" s="41" t="s">
        <v>168</v>
      </c>
      <c r="K12" s="42">
        <f>Immobilie!C66</f>
        <v>356.66666666666663</v>
      </c>
      <c r="N12" s="46"/>
      <c r="P12" s="265" t="s">
        <v>170</v>
      </c>
      <c r="Q12" s="267"/>
    </row>
    <row r="13" spans="1:20" ht="15" thickBot="1">
      <c r="B13" s="280" t="s">
        <v>18</v>
      </c>
      <c r="C13" s="281"/>
      <c r="D13" s="44">
        <f>Immobilie!$C$29</f>
        <v>0.01</v>
      </c>
      <c r="E13" s="45">
        <f>D13*$D$8</f>
        <v>1500</v>
      </c>
      <c r="G13" s="26" t="s">
        <v>111</v>
      </c>
      <c r="H13" s="47">
        <f>H8</f>
        <v>610</v>
      </c>
      <c r="J13" s="23" t="s">
        <v>23</v>
      </c>
      <c r="K13" s="48">
        <f>Immobilie!$C$58/3</f>
        <v>16.666666666666668</v>
      </c>
      <c r="M13" s="268" t="s">
        <v>86</v>
      </c>
      <c r="N13" s="269"/>
      <c r="P13" s="6" t="s">
        <v>25</v>
      </c>
      <c r="Q13" s="8">
        <f>H10</f>
        <v>826.66666666666663</v>
      </c>
    </row>
    <row r="14" spans="1:20" ht="15.75" thickTop="1" thickBot="1">
      <c r="B14" s="280" t="s">
        <v>21</v>
      </c>
      <c r="C14" s="281"/>
      <c r="D14" s="44">
        <f>Immobilie!$C$30</f>
        <v>6.5000000000000002E-2</v>
      </c>
      <c r="E14" s="45">
        <f>D14*$D$8</f>
        <v>9750</v>
      </c>
      <c r="G14" s="31" t="s">
        <v>13</v>
      </c>
      <c r="H14" s="32">
        <f>Immobilie!$C$51</f>
        <v>216.66666666666666</v>
      </c>
      <c r="J14" s="49" t="s">
        <v>36</v>
      </c>
      <c r="K14" s="28">
        <f>K11-K12-K13</f>
        <v>-156.66666666666663</v>
      </c>
      <c r="M14" s="17" t="s">
        <v>55</v>
      </c>
      <c r="N14" s="22">
        <f ca="1">PlanmäßigeZahlung</f>
        <v>645.29573460105871</v>
      </c>
      <c r="P14" s="4" t="s">
        <v>211</v>
      </c>
      <c r="Q14" s="19">
        <f>(K8-K13)*-1</f>
        <v>-339.99999999999994</v>
      </c>
    </row>
    <row r="15" spans="1:20" ht="15.75" thickTop="1" thickBot="1">
      <c r="B15" s="284" t="s">
        <v>26</v>
      </c>
      <c r="C15" s="285"/>
      <c r="D15" s="51">
        <f>Immobilie!$C$31</f>
        <v>2E-3</v>
      </c>
      <c r="E15" s="52">
        <f>D15*$D$8</f>
        <v>300</v>
      </c>
      <c r="G15" s="49" t="s">
        <v>92</v>
      </c>
      <c r="H15" s="28">
        <f>H13+H14</f>
        <v>826.66666666666663</v>
      </c>
      <c r="M15" s="50" t="s">
        <v>179</v>
      </c>
      <c r="N15" s="22">
        <f ca="1">Darlehen!$I$14</f>
        <v>166.20329166666667</v>
      </c>
      <c r="P15" s="4" t="s">
        <v>30</v>
      </c>
      <c r="Q15" s="19">
        <f ca="1">Darlehen!$I$14*-1</f>
        <v>-166.20329166666667</v>
      </c>
    </row>
    <row r="16" spans="1:20" ht="15" thickBot="1">
      <c r="B16" s="282" t="s">
        <v>28</v>
      </c>
      <c r="C16" s="283"/>
      <c r="D16" s="54">
        <f>SUM(D11:D15)</f>
        <v>0.12570000000000001</v>
      </c>
      <c r="E16" s="28">
        <f>SUM(E11:E15)</f>
        <v>18855</v>
      </c>
      <c r="J16" s="268" t="s">
        <v>207</v>
      </c>
      <c r="K16" s="269"/>
      <c r="M16" s="50" t="s">
        <v>180</v>
      </c>
      <c r="N16" s="22">
        <f ca="1">Darlehen!$H$14</f>
        <v>479.09244293439201</v>
      </c>
      <c r="P16" s="31" t="s">
        <v>31</v>
      </c>
      <c r="Q16" s="53">
        <f ca="1">Darlehen!$H$14*-1</f>
        <v>-479.09244293439201</v>
      </c>
      <c r="T16" s="253"/>
    </row>
    <row r="17" spans="2:20" ht="15" thickBot="1">
      <c r="B17" s="1"/>
      <c r="C17" s="1"/>
      <c r="D17" s="59"/>
      <c r="E17" s="60"/>
      <c r="G17" s="268" t="s">
        <v>12</v>
      </c>
      <c r="H17" s="269"/>
      <c r="J17" s="55" t="s">
        <v>208</v>
      </c>
      <c r="K17" s="56">
        <f>Immobilie!$C$62</f>
        <v>80</v>
      </c>
      <c r="M17" s="50" t="s">
        <v>85</v>
      </c>
      <c r="N17" s="57">
        <f>Immobilie!$C$15</f>
        <v>10</v>
      </c>
      <c r="P17" s="49" t="s">
        <v>33</v>
      </c>
      <c r="Q17" s="58">
        <f ca="1">SUM(Q13:Q16)</f>
        <v>-158.62906793439197</v>
      </c>
    </row>
    <row r="18" spans="2:20" ht="15" thickBot="1">
      <c r="B18" s="265" t="s">
        <v>32</v>
      </c>
      <c r="C18" s="266"/>
      <c r="D18" s="266"/>
      <c r="E18" s="267"/>
      <c r="G18" s="4" t="s">
        <v>110</v>
      </c>
      <c r="H18" s="5">
        <f>H5*12</f>
        <v>6720</v>
      </c>
      <c r="M18" s="50" t="s">
        <v>87</v>
      </c>
      <c r="N18" s="57">
        <f>Immobilie!$C$16</f>
        <v>20</v>
      </c>
    </row>
    <row r="19" spans="2:20" ht="15" thickBot="1">
      <c r="B19" s="274" t="s">
        <v>116</v>
      </c>
      <c r="C19" s="275"/>
      <c r="D19" s="64" t="s">
        <v>120</v>
      </c>
      <c r="E19" s="65" t="s">
        <v>34</v>
      </c>
      <c r="G19" s="49" t="s">
        <v>111</v>
      </c>
      <c r="H19" s="61">
        <f>H8*12</f>
        <v>7320</v>
      </c>
      <c r="M19" s="62" t="s">
        <v>88</v>
      </c>
      <c r="N19" s="63">
        <f>Immobilie!$C$17</f>
        <v>2.5000000000000001E-2</v>
      </c>
      <c r="P19" s="265" t="s">
        <v>35</v>
      </c>
      <c r="Q19" s="267"/>
    </row>
    <row r="20" spans="2:20" ht="15" thickBot="1">
      <c r="B20" s="272" t="s">
        <v>161</v>
      </c>
      <c r="C20" s="273"/>
      <c r="D20" s="67">
        <f>E20/$D$8</f>
        <v>6.6666666666666666E-2</v>
      </c>
      <c r="E20" s="68">
        <f>Immobilie!$C$36+Immobilie!$C$37</f>
        <v>10000</v>
      </c>
      <c r="P20" s="39" t="s">
        <v>82</v>
      </c>
      <c r="Q20" s="66">
        <f>Q13</f>
        <v>826.66666666666663</v>
      </c>
    </row>
    <row r="21" spans="2:20" ht="15" thickBot="1">
      <c r="B21" s="272" t="s">
        <v>162</v>
      </c>
      <c r="C21" s="273"/>
      <c r="D21" s="67">
        <f t="shared" ref="D21:D22" si="0">E21/$D$8</f>
        <v>0.02</v>
      </c>
      <c r="E21" s="68">
        <f>SUM(Immobilie!$C$38:$C$41)</f>
        <v>3000</v>
      </c>
      <c r="G21" s="265" t="s">
        <v>19</v>
      </c>
      <c r="H21" s="267"/>
      <c r="M21" s="268" t="s">
        <v>210</v>
      </c>
      <c r="N21" s="269"/>
      <c r="P21" s="4" t="s">
        <v>209</v>
      </c>
      <c r="Q21" s="19">
        <f>Immobilie!$C$60*-1</f>
        <v>-140</v>
      </c>
    </row>
    <row r="22" spans="2:20" ht="15" thickBot="1">
      <c r="B22" s="276" t="s">
        <v>119</v>
      </c>
      <c r="C22" s="277"/>
      <c r="D22" s="73">
        <f t="shared" si="0"/>
        <v>0</v>
      </c>
      <c r="E22" s="74">
        <f>Immobilie!$C$42</f>
        <v>0</v>
      </c>
      <c r="G22" s="69" t="s">
        <v>22</v>
      </c>
      <c r="H22" s="70">
        <f>Immobilie!$C$21</f>
        <v>0.02</v>
      </c>
      <c r="M22" s="71" t="s">
        <v>89</v>
      </c>
      <c r="N22" s="72">
        <v>5000</v>
      </c>
      <c r="P22" s="4" t="s">
        <v>30</v>
      </c>
      <c r="Q22" s="19">
        <f ca="1">Q15</f>
        <v>-166.20329166666667</v>
      </c>
      <c r="R22" s="251"/>
    </row>
    <row r="23" spans="2:20" ht="15.75" thickTop="1" thickBot="1">
      <c r="B23" s="278" t="s">
        <v>36</v>
      </c>
      <c r="C23" s="279"/>
      <c r="D23" s="78">
        <f>E23/$D$8</f>
        <v>8.666666666666667E-2</v>
      </c>
      <c r="E23" s="79">
        <f>SUM(E20:E22)</f>
        <v>13000</v>
      </c>
      <c r="G23" s="75" t="s">
        <v>27</v>
      </c>
      <c r="H23" s="70">
        <f>Immobilie!$C$20</f>
        <v>0.8</v>
      </c>
      <c r="M23" s="76" t="s">
        <v>176</v>
      </c>
      <c r="N23" s="77">
        <f>Darlehen!K5</f>
        <v>-24.104282044042407</v>
      </c>
      <c r="P23" s="31" t="s">
        <v>38</v>
      </c>
      <c r="Q23" s="53">
        <f>-H24*H22/12</f>
        <v>-225.14</v>
      </c>
    </row>
    <row r="24" spans="2:20" ht="15.75" thickTop="1" thickBot="1">
      <c r="B24" s="270" t="s">
        <v>121</v>
      </c>
      <c r="C24" s="271"/>
      <c r="D24" s="271"/>
      <c r="E24" s="84">
        <f>0.15*H23*(D8+E16)*1.19</f>
        <v>24112.493999999999</v>
      </c>
      <c r="G24" s="80" t="s">
        <v>29</v>
      </c>
      <c r="H24" s="81">
        <f>(D8*H23)+(E16*H23)</f>
        <v>135084</v>
      </c>
      <c r="M24" s="82" t="s">
        <v>90</v>
      </c>
      <c r="N24" s="83">
        <v>-3.0000000000000001E-3</v>
      </c>
      <c r="P24" s="26" t="s">
        <v>84</v>
      </c>
      <c r="Q24" s="66">
        <f ca="1">SUM(Q20:Q23)</f>
        <v>295.32337499999994</v>
      </c>
    </row>
    <row r="25" spans="2:20" ht="15" thickBot="1">
      <c r="M25" s="85" t="s">
        <v>167</v>
      </c>
      <c r="N25" s="86">
        <f>Darlehen!$K$6</f>
        <v>-4389.9401712453982</v>
      </c>
      <c r="P25" s="23" t="s">
        <v>69</v>
      </c>
      <c r="Q25" s="87">
        <v>0.42</v>
      </c>
      <c r="T25" s="253"/>
    </row>
    <row r="26" spans="2:20" ht="15" thickBot="1">
      <c r="B26" s="89"/>
      <c r="C26" s="90"/>
      <c r="D26" s="91"/>
      <c r="E26" s="92"/>
      <c r="P26" s="49" t="s">
        <v>40</v>
      </c>
      <c r="Q26" s="88">
        <f ca="1">-Q24*Q25</f>
        <v>-124.03581749999996</v>
      </c>
    </row>
    <row r="27" spans="2:20">
      <c r="B27" s="89"/>
      <c r="C27" s="90"/>
      <c r="D27" s="91"/>
      <c r="E27" s="92"/>
      <c r="N27" s="93"/>
    </row>
    <row r="28" spans="2:20">
      <c r="B28" s="89"/>
      <c r="C28" s="90"/>
      <c r="D28" s="91"/>
      <c r="E28" s="91"/>
      <c r="Q28" s="254"/>
    </row>
    <row r="29" spans="2:20">
      <c r="E29" s="92"/>
    </row>
    <row r="30" spans="2:20">
      <c r="E30" s="92"/>
      <c r="F30" s="94"/>
      <c r="I30" s="94"/>
      <c r="O30" s="94"/>
    </row>
    <row r="31" spans="2:20">
      <c r="F31" s="95"/>
      <c r="G31" s="255"/>
      <c r="H31" s="255"/>
      <c r="I31" s="95"/>
      <c r="L31" s="95"/>
      <c r="O31" s="95"/>
    </row>
    <row r="32" spans="2:20">
      <c r="F32" s="94"/>
      <c r="G32" s="96"/>
      <c r="H32" s="96"/>
      <c r="I32" s="94"/>
      <c r="L32" s="94"/>
      <c r="M32" s="252"/>
      <c r="N32" s="252"/>
      <c r="O32" s="94"/>
    </row>
    <row r="33" spans="6:18">
      <c r="F33" s="94"/>
      <c r="G33" s="96"/>
      <c r="H33" s="96"/>
      <c r="I33" s="94"/>
      <c r="L33" s="94"/>
      <c r="M33" s="252"/>
      <c r="N33" s="252"/>
      <c r="O33" s="94"/>
    </row>
    <row r="34" spans="6:18">
      <c r="G34" s="96"/>
      <c r="H34" s="96"/>
      <c r="M34" s="252"/>
      <c r="N34" s="252"/>
    </row>
    <row r="35" spans="6:18">
      <c r="G35" s="96"/>
      <c r="H35" s="96"/>
      <c r="M35" s="252"/>
      <c r="N35" s="252"/>
    </row>
    <row r="36" spans="6:18">
      <c r="G36" s="255"/>
      <c r="H36" s="96"/>
      <c r="M36" s="252"/>
      <c r="N36" s="252"/>
    </row>
    <row r="44" spans="6:18">
      <c r="R44" s="253"/>
    </row>
  </sheetData>
  <mergeCells count="40">
    <mergeCell ref="P2:Q2"/>
    <mergeCell ref="P4:Q4"/>
    <mergeCell ref="M4:N4"/>
    <mergeCell ref="D10:E10"/>
    <mergeCell ref="B10:C10"/>
    <mergeCell ref="B4:E4"/>
    <mergeCell ref="J4:K4"/>
    <mergeCell ref="G4:H4"/>
    <mergeCell ref="G2:H2"/>
    <mergeCell ref="J2:K2"/>
    <mergeCell ref="M2:N2"/>
    <mergeCell ref="D2:E2"/>
    <mergeCell ref="B2:C2"/>
    <mergeCell ref="P12:Q12"/>
    <mergeCell ref="B9:C9"/>
    <mergeCell ref="D9:E9"/>
    <mergeCell ref="B7:E7"/>
    <mergeCell ref="B8:C8"/>
    <mergeCell ref="D8:E8"/>
    <mergeCell ref="J10:K10"/>
    <mergeCell ref="B11:C11"/>
    <mergeCell ref="M13:N13"/>
    <mergeCell ref="G17:H17"/>
    <mergeCell ref="B14:C14"/>
    <mergeCell ref="B16:C16"/>
    <mergeCell ref="B12:C12"/>
    <mergeCell ref="B15:C15"/>
    <mergeCell ref="B13:C13"/>
    <mergeCell ref="J16:K16"/>
    <mergeCell ref="G12:H12"/>
    <mergeCell ref="B18:E18"/>
    <mergeCell ref="P19:Q19"/>
    <mergeCell ref="G21:H21"/>
    <mergeCell ref="M21:N21"/>
    <mergeCell ref="B24:D24"/>
    <mergeCell ref="B20:C20"/>
    <mergeCell ref="B21:C21"/>
    <mergeCell ref="B19:C19"/>
    <mergeCell ref="B22:C22"/>
    <mergeCell ref="B23:C23"/>
  </mergeCells>
  <dataValidations disablePrompts="1" count="3">
    <dataValidation allowBlank="1" showInputMessage="1" showErrorMessage="1" promptTitle="================================" prompt="Ohne Erwerbsnebenkosten, nach n. umlagefähigen Bewirtschaftungskosten" sqref="P8"/>
    <dataValidation allowBlank="1" showInputMessage="1" showErrorMessage="1" promptTitle="================================" prompt="Nettoertrag / Gesamtinvestitionskosten" sqref="P9"/>
    <dataValidation allowBlank="1" showInputMessage="1" showErrorMessage="1" promptTitle="================================" prompt="Ohne Erwerbsnebenkosten" sqref="P6"/>
  </dataValidations>
  <pageMargins left="0.11811023622047245" right="0.11811023622047245" top="0.19685039370078741" bottom="0.19685039370078741" header="0.31496062992125984" footer="0.31496062992125984"/>
  <pageSetup paperSize="9" scale="63" orientation="landscape" r:id="rId1"/>
  <extLst>
    <ext xmlns:x14="http://schemas.microsoft.com/office/spreadsheetml/2009/9/main" uri="{78C0D931-6437-407d-A8EE-F0AAD7539E65}">
      <x14:conditionalFormattings>
        <x14:conditionalFormatting xmlns:xm="http://schemas.microsoft.com/office/excel/2006/main">
          <x14:cfRule type="cellIs" priority="11" operator="lessThanOrEqual" id="{9538E9C7-D7FB-4B1F-8DDB-4EFEFF3F16CA}">
            <xm:f>Konfiguration!$E$4</xm:f>
            <x14:dxf>
              <font>
                <b/>
                <i val="0"/>
                <color rgb="FFFF9999"/>
              </font>
              <fill>
                <patternFill>
                  <bgColor rgb="FFC00000"/>
                </patternFill>
              </fill>
            </x14:dxf>
          </x14:cfRule>
          <x14:cfRule type="cellIs" priority="12" operator="between" id="{9BF00340-4762-4AC8-9A2C-F79E9C4D9C8E}">
            <xm:f>Konfiguration!$C$4</xm:f>
            <xm:f>Konfiguration!$E$4</xm:f>
            <x14:dxf>
              <font>
                <b/>
                <i val="0"/>
                <color rgb="FFFFFF00"/>
              </font>
              <fill>
                <patternFill>
                  <bgColor rgb="FFFF9933"/>
                </patternFill>
              </fill>
            </x14:dxf>
          </x14:cfRule>
          <x14:cfRule type="cellIs" priority="13" operator="greaterThanOrEqual" id="{D780CC58-D99D-464D-A899-814E4DFE5D78}">
            <xm:f>Konfiguration!$C$4</xm:f>
            <x14:dxf>
              <font>
                <b/>
                <i val="0"/>
                <color rgb="FF66FF33"/>
              </font>
              <fill>
                <patternFill>
                  <bgColor rgb="FF008000"/>
                </patternFill>
              </fill>
            </x14:dxf>
          </x14:cfRule>
          <xm:sqref>Q6</xm:sqref>
        </x14:conditionalFormatting>
        <x14:conditionalFormatting xmlns:xm="http://schemas.microsoft.com/office/excel/2006/main">
          <x14:cfRule type="cellIs" priority="8" operator="lessThanOrEqual" id="{3930139A-7754-4286-ACCE-E052A929C031}">
            <xm:f>Konfiguration!$E$5</xm:f>
            <x14:dxf>
              <font>
                <b/>
                <i val="0"/>
                <color rgb="FFFF9999"/>
              </font>
              <fill>
                <patternFill>
                  <bgColor rgb="FFC00000"/>
                </patternFill>
              </fill>
            </x14:dxf>
          </x14:cfRule>
          <x14:cfRule type="cellIs" priority="9" operator="between" id="{430784F8-D9E4-4694-91E5-556139F4005D}">
            <xm:f>Konfiguration!$C$5</xm:f>
            <xm:f>Konfiguration!$E$5</xm:f>
            <x14:dxf>
              <font>
                <b/>
                <i val="0"/>
                <color rgb="FFFFFF00"/>
              </font>
              <fill>
                <patternFill>
                  <bgColor rgb="FFFF9933"/>
                </patternFill>
              </fill>
            </x14:dxf>
          </x14:cfRule>
          <x14:cfRule type="cellIs" priority="10" operator="greaterThanOrEqual" id="{9162C93A-ED38-4E03-A898-3CD7D2BC39AB}">
            <xm:f>Konfiguration!$C$5</xm:f>
            <x14:dxf>
              <font>
                <b/>
                <i val="0"/>
                <color rgb="FF66FF33"/>
              </font>
              <fill>
                <patternFill>
                  <bgColor rgb="FF008000"/>
                </patternFill>
              </fill>
            </x14:dxf>
          </x14:cfRule>
          <xm:sqref>Q8</xm:sqref>
        </x14:conditionalFormatting>
        <x14:conditionalFormatting xmlns:xm="http://schemas.microsoft.com/office/excel/2006/main">
          <x14:cfRule type="cellIs" priority="5" operator="lessThanOrEqual" id="{A97C89E6-55E3-489B-94F4-9ADAF6E73C07}">
            <xm:f>Konfiguration!$E$6</xm:f>
            <x14:dxf>
              <font>
                <b/>
                <i val="0"/>
                <color rgb="FFFF9999"/>
              </font>
              <fill>
                <patternFill>
                  <bgColor rgb="FFC00000"/>
                </patternFill>
              </fill>
            </x14:dxf>
          </x14:cfRule>
          <x14:cfRule type="cellIs" priority="6" operator="between" id="{50A91279-44F6-4714-84A3-9CB026241D14}">
            <xm:f>Konfiguration!$C$6</xm:f>
            <xm:f>Konfiguration!$E$6</xm:f>
            <x14:dxf>
              <font>
                <b/>
                <i val="0"/>
                <color rgb="FFFFFF00"/>
              </font>
              <fill>
                <patternFill>
                  <bgColor rgb="FFFF9933"/>
                </patternFill>
              </fill>
            </x14:dxf>
          </x14:cfRule>
          <x14:cfRule type="cellIs" priority="7" operator="greaterThanOrEqual" id="{A3BC81C0-7ECE-4837-814F-A4B05D300DCB}">
            <xm:f>Konfiguration!$C$6</xm:f>
            <x14:dxf>
              <font>
                <b/>
                <i val="0"/>
                <color rgb="FF66FF33"/>
              </font>
              <fill>
                <patternFill>
                  <bgColor rgb="FF008000"/>
                </patternFill>
              </fill>
            </x14:dxf>
          </x14:cfRule>
          <xm:sqref>Q10</xm:sqref>
        </x14:conditionalFormatting>
        <x14:conditionalFormatting xmlns:xm="http://schemas.microsoft.com/office/excel/2006/main">
          <x14:cfRule type="cellIs" priority="2" operator="lessThanOrEqual" id="{CF109E9C-3A0D-4061-9F0F-9850616598DF}">
            <xm:f>Konfiguration!$E$7</xm:f>
            <x14:dxf>
              <font>
                <b/>
                <i val="0"/>
                <color rgb="FFFF9999"/>
              </font>
              <fill>
                <patternFill>
                  <bgColor rgb="FFC00000"/>
                </patternFill>
              </fill>
            </x14:dxf>
          </x14:cfRule>
          <x14:cfRule type="cellIs" priority="3" operator="between" id="{3AF028F5-D008-42C7-BBA8-12BEF6EE3948}">
            <xm:f>Konfiguration!$C$7</xm:f>
            <xm:f>Konfiguration!$E$7</xm:f>
            <x14:dxf>
              <font>
                <b/>
                <i val="0"/>
                <color rgb="FFFFFF00"/>
              </font>
              <fill>
                <patternFill>
                  <bgColor rgb="FFFF9933"/>
                </patternFill>
              </fill>
            </x14:dxf>
          </x14:cfRule>
          <x14:cfRule type="cellIs" priority="4" operator="greaterThanOrEqual" id="{8FF55FF4-3219-4BB0-8776-74C7AE3ECD2A}">
            <xm:f>Konfiguration!$D$7</xm:f>
            <x14:dxf>
              <font>
                <b/>
                <i val="0"/>
                <color rgb="FF66FF33"/>
              </font>
              <fill>
                <patternFill>
                  <bgColor rgb="FF008000"/>
                </patternFill>
              </fill>
            </x14:dxf>
          </x14:cfRule>
          <xm:sqref>Q17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1" tint="0.249977111117893"/>
    <pageSetUpPr fitToPage="1"/>
  </sheetPr>
  <dimension ref="B1:K33"/>
  <sheetViews>
    <sheetView showGridLines="0" topLeftCell="A2" zoomScaleNormal="100" workbookViewId="0">
      <selection activeCell="C37" sqref="C37"/>
    </sheetView>
  </sheetViews>
  <sheetFormatPr baseColWidth="10" defaultColWidth="11.42578125" defaultRowHeight="14.25"/>
  <cols>
    <col min="1" max="1" width="1.5703125" style="244" bestFit="1" customWidth="1"/>
    <col min="2" max="2" width="3.28515625" style="244" bestFit="1" customWidth="1"/>
    <col min="3" max="3" width="38.7109375" style="244" bestFit="1" customWidth="1"/>
    <col min="4" max="4" width="13.28515625" style="244" bestFit="1" customWidth="1"/>
    <col min="5" max="5" width="4.42578125" style="244" bestFit="1" customWidth="1"/>
    <col min="6" max="6" width="28.28515625" style="244" bestFit="1" customWidth="1"/>
    <col min="7" max="7" width="13.28515625" style="244" bestFit="1" customWidth="1"/>
    <col min="8" max="8" width="4.28515625" style="244" bestFit="1" customWidth="1"/>
    <col min="9" max="9" width="38.7109375" style="244" bestFit="1" customWidth="1"/>
    <col min="10" max="10" width="13.28515625" style="244" bestFit="1" customWidth="1"/>
    <col min="11" max="11" width="3.28515625" style="244" bestFit="1" customWidth="1"/>
    <col min="12" max="16384" width="11.42578125" style="244"/>
  </cols>
  <sheetData>
    <row r="1" spans="2:11" s="111" customFormat="1" ht="5.25" hidden="1">
      <c r="B1" s="111" t="s">
        <v>106</v>
      </c>
      <c r="C1" s="207" t="s">
        <v>103</v>
      </c>
      <c r="D1" s="207" t="s">
        <v>104</v>
      </c>
      <c r="E1" s="207" t="s">
        <v>71</v>
      </c>
      <c r="F1" s="207" t="s">
        <v>105</v>
      </c>
      <c r="G1" s="207" t="s">
        <v>104</v>
      </c>
      <c r="H1" s="207" t="s">
        <v>71</v>
      </c>
      <c r="I1" s="207" t="s">
        <v>95</v>
      </c>
      <c r="J1" s="207" t="s">
        <v>104</v>
      </c>
      <c r="K1" s="111" t="s">
        <v>106</v>
      </c>
    </row>
    <row r="2" spans="2:11" s="97" customFormat="1" ht="12" thickBot="1">
      <c r="C2" s="98" t="s">
        <v>214</v>
      </c>
      <c r="D2" s="98" t="s">
        <v>215</v>
      </c>
      <c r="E2" s="98"/>
      <c r="F2" s="98" t="s">
        <v>213</v>
      </c>
      <c r="G2" s="98" t="s">
        <v>215</v>
      </c>
      <c r="H2" s="98"/>
      <c r="I2" s="98" t="s">
        <v>214</v>
      </c>
      <c r="J2" s="98" t="s">
        <v>215</v>
      </c>
    </row>
    <row r="3" spans="2:11" ht="21" thickBot="1">
      <c r="B3" s="100"/>
      <c r="C3" s="203" t="s">
        <v>175</v>
      </c>
      <c r="D3" s="302" t="str">
        <f>Immobilie!$C$5</f>
        <v>Meine Immobilie</v>
      </c>
      <c r="E3" s="302"/>
      <c r="F3" s="302"/>
      <c r="G3" s="302"/>
      <c r="H3" s="302"/>
      <c r="I3" s="302"/>
      <c r="J3" s="302"/>
      <c r="K3" s="101"/>
    </row>
    <row r="4" spans="2:11" s="97" customFormat="1" ht="12" thickBot="1">
      <c r="B4" s="102"/>
      <c r="C4" s="99"/>
      <c r="D4" s="99"/>
      <c r="E4" s="99"/>
      <c r="F4" s="99"/>
      <c r="G4" s="99"/>
      <c r="H4" s="99"/>
      <c r="I4" s="99"/>
      <c r="J4" s="99"/>
      <c r="K4" s="103"/>
    </row>
    <row r="5" spans="2:11" s="107" customFormat="1" ht="18.75" thickBot="1">
      <c r="B5" s="104"/>
      <c r="C5" s="306" t="s">
        <v>44</v>
      </c>
      <c r="D5" s="307"/>
      <c r="E5" s="105"/>
      <c r="F5" s="306" t="s">
        <v>2</v>
      </c>
      <c r="G5" s="307"/>
      <c r="H5" s="105"/>
      <c r="I5" s="306" t="s">
        <v>45</v>
      </c>
      <c r="J5" s="307"/>
      <c r="K5" s="106"/>
    </row>
    <row r="6" spans="2:11" s="111" customFormat="1" ht="6" thickBot="1">
      <c r="B6" s="108"/>
      <c r="C6" s="109"/>
      <c r="D6" s="109"/>
      <c r="E6" s="109"/>
      <c r="F6" s="109"/>
      <c r="G6" s="109"/>
      <c r="H6" s="109"/>
      <c r="I6" s="109"/>
      <c r="J6" s="109"/>
      <c r="K6" s="110"/>
    </row>
    <row r="7" spans="2:11" ht="15" thickBot="1">
      <c r="B7" s="112"/>
      <c r="C7" s="304" t="s">
        <v>46</v>
      </c>
      <c r="D7" s="305"/>
      <c r="E7" s="113"/>
      <c r="F7" s="304" t="s">
        <v>41</v>
      </c>
      <c r="G7" s="305"/>
      <c r="H7" s="113"/>
      <c r="I7" s="304" t="s">
        <v>47</v>
      </c>
      <c r="J7" s="305"/>
      <c r="K7" s="114"/>
    </row>
    <row r="8" spans="2:11">
      <c r="B8" s="112"/>
      <c r="C8" s="39" t="s">
        <v>7</v>
      </c>
      <c r="D8" s="115">
        <f>Übersicht!C5</f>
        <v>77</v>
      </c>
      <c r="E8" s="113"/>
      <c r="F8" s="39" t="s">
        <v>28</v>
      </c>
      <c r="G8" s="116">
        <f>Übersicht!N5</f>
        <v>133855</v>
      </c>
      <c r="H8" s="113"/>
      <c r="I8" s="39" t="s">
        <v>48</v>
      </c>
      <c r="J8" s="116">
        <f>Übersicht!H8</f>
        <v>610</v>
      </c>
      <c r="K8" s="114"/>
    </row>
    <row r="9" spans="2:11">
      <c r="B9" s="112"/>
      <c r="C9" s="117" t="s">
        <v>49</v>
      </c>
      <c r="D9" s="118">
        <f>Übersicht!D9</f>
        <v>1948.0519480519481</v>
      </c>
      <c r="E9" s="113"/>
      <c r="F9" s="17" t="s">
        <v>24</v>
      </c>
      <c r="G9" s="119">
        <f ca="1">Übersicht!N9</f>
        <v>4.3244808899957098E-2</v>
      </c>
      <c r="H9" s="113"/>
      <c r="I9" s="39" t="s">
        <v>14</v>
      </c>
      <c r="J9" s="120">
        <f>Übersicht!Q6</f>
        <v>4.49079754601227E-2</v>
      </c>
      <c r="K9" s="114"/>
    </row>
    <row r="10" spans="2:11" ht="15" thickBot="1">
      <c r="B10" s="112"/>
      <c r="C10" s="20" t="s">
        <v>51</v>
      </c>
      <c r="D10" s="121">
        <f>Übersicht!D10</f>
        <v>22.26775956284153</v>
      </c>
      <c r="E10" s="113"/>
      <c r="F10" s="20" t="s">
        <v>50</v>
      </c>
      <c r="G10" s="122">
        <f>Übersicht!N8</f>
        <v>1.49E-2</v>
      </c>
      <c r="H10" s="113"/>
      <c r="I10" s="20" t="s">
        <v>16</v>
      </c>
      <c r="J10" s="123">
        <f>Übersicht!Q8</f>
        <v>5.5214723926380369E-2</v>
      </c>
      <c r="K10" s="114"/>
    </row>
    <row r="11" spans="2:11" s="111" customFormat="1" ht="6" thickBot="1">
      <c r="B11" s="108"/>
      <c r="C11" s="109"/>
      <c r="D11" s="109"/>
      <c r="E11" s="109"/>
      <c r="F11" s="109"/>
      <c r="G11" s="109"/>
      <c r="H11" s="109"/>
      <c r="I11" s="109"/>
      <c r="J11" s="109"/>
      <c r="K11" s="110"/>
    </row>
    <row r="12" spans="2:11" ht="15" thickBot="1">
      <c r="B12" s="112"/>
      <c r="C12" s="304" t="s">
        <v>52</v>
      </c>
      <c r="D12" s="305"/>
      <c r="E12" s="113"/>
      <c r="F12" s="304" t="s">
        <v>112</v>
      </c>
      <c r="G12" s="305"/>
      <c r="H12" s="113"/>
      <c r="I12" s="304" t="s">
        <v>122</v>
      </c>
      <c r="J12" s="305"/>
      <c r="K12" s="114"/>
    </row>
    <row r="13" spans="2:11">
      <c r="B13" s="112"/>
      <c r="C13" s="39" t="s">
        <v>39</v>
      </c>
      <c r="D13" s="116">
        <f>Übersicht!D8</f>
        <v>150000</v>
      </c>
      <c r="E13" s="113"/>
      <c r="F13" s="39" t="s">
        <v>6</v>
      </c>
      <c r="G13" s="116">
        <f>Übersicht!N6</f>
        <v>48000</v>
      </c>
      <c r="H13" s="113"/>
      <c r="I13" s="39" t="s">
        <v>83</v>
      </c>
      <c r="J13" s="116">
        <f>Übersicht!H10</f>
        <v>826.66666666666663</v>
      </c>
      <c r="K13" s="114"/>
    </row>
    <row r="14" spans="2:11">
      <c r="B14" s="112"/>
      <c r="C14" s="17" t="s">
        <v>155</v>
      </c>
      <c r="D14" s="124">
        <f>Übersicht!E16</f>
        <v>18855</v>
      </c>
      <c r="E14" s="113"/>
      <c r="F14" s="17" t="s">
        <v>53</v>
      </c>
      <c r="G14" s="124">
        <f>-Übersicht!E16</f>
        <v>-18855</v>
      </c>
      <c r="H14" s="113"/>
      <c r="I14" s="125" t="s">
        <v>211</v>
      </c>
      <c r="J14" s="124">
        <f>Übersicht!Q14</f>
        <v>-339.99999999999994</v>
      </c>
      <c r="K14" s="114"/>
    </row>
    <row r="15" spans="2:11" ht="15" thickBot="1">
      <c r="B15" s="112"/>
      <c r="C15" s="126" t="s">
        <v>32</v>
      </c>
      <c r="D15" s="127">
        <f>Übersicht!E23</f>
        <v>13000</v>
      </c>
      <c r="E15" s="113"/>
      <c r="F15" s="126" t="s">
        <v>32</v>
      </c>
      <c r="G15" s="127">
        <f>-Übersicht!E23</f>
        <v>-13000</v>
      </c>
      <c r="H15" s="113"/>
      <c r="I15" s="125" t="s">
        <v>30</v>
      </c>
      <c r="J15" s="124">
        <f ca="1">Übersicht!N15*-1</f>
        <v>-166.20329166666667</v>
      </c>
      <c r="K15" s="114"/>
    </row>
    <row r="16" spans="2:11" ht="15.75" thickTop="1" thickBot="1">
      <c r="B16" s="112"/>
      <c r="C16" s="128" t="s">
        <v>37</v>
      </c>
      <c r="D16" s="129">
        <f>SUM(D13:D15)</f>
        <v>181855</v>
      </c>
      <c r="E16" s="113"/>
      <c r="F16" s="130" t="s">
        <v>28</v>
      </c>
      <c r="G16" s="131">
        <f>SUM(G13:G15)</f>
        <v>16145</v>
      </c>
      <c r="H16" s="113"/>
      <c r="I16" s="132" t="s">
        <v>31</v>
      </c>
      <c r="J16" s="127">
        <f ca="1">Übersicht!N16*-1</f>
        <v>-479.09244293439201</v>
      </c>
      <c r="K16" s="114"/>
    </row>
    <row r="17" spans="2:11" ht="15" thickBot="1">
      <c r="B17" s="112"/>
      <c r="C17" s="133" t="s">
        <v>113</v>
      </c>
      <c r="D17" s="134">
        <f>Übersicht!N10</f>
        <v>0.89236666666666664</v>
      </c>
      <c r="E17" s="113"/>
      <c r="F17" s="133" t="s">
        <v>114</v>
      </c>
      <c r="G17" s="134">
        <f>G16/D13</f>
        <v>0.10763333333333333</v>
      </c>
      <c r="H17" s="113"/>
      <c r="I17" s="49" t="s">
        <v>54</v>
      </c>
      <c r="J17" s="135">
        <f ca="1">Übersicht!Q17</f>
        <v>-158.62906793439197</v>
      </c>
      <c r="K17" s="114"/>
    </row>
    <row r="18" spans="2:11" s="97" customFormat="1" ht="11.25">
      <c r="B18" s="136"/>
      <c r="C18" s="137"/>
      <c r="D18" s="137"/>
      <c r="E18" s="137"/>
      <c r="F18" s="137"/>
      <c r="G18" s="137"/>
      <c r="H18" s="137"/>
      <c r="I18" s="137"/>
      <c r="J18" s="137"/>
      <c r="K18" s="138"/>
    </row>
    <row r="19" spans="2:11">
      <c r="B19" s="245"/>
      <c r="C19" s="246"/>
      <c r="D19" s="246"/>
      <c r="E19" s="246"/>
      <c r="F19" s="246"/>
      <c r="G19" s="246"/>
      <c r="H19" s="246"/>
      <c r="I19" s="246"/>
      <c r="J19" s="246"/>
      <c r="K19" s="247"/>
    </row>
    <row r="20" spans="2:11" ht="15.75" thickBot="1">
      <c r="B20" s="245"/>
      <c r="C20" s="248"/>
      <c r="D20" s="248"/>
      <c r="E20" s="248"/>
      <c r="F20" s="248"/>
      <c r="G20" s="303"/>
      <c r="H20" s="303"/>
      <c r="I20" s="303"/>
      <c r="J20" s="139">
        <f ca="1">J17</f>
        <v>-158.62906793439197</v>
      </c>
      <c r="K20" s="247"/>
    </row>
    <row r="21" spans="2:11">
      <c r="B21" s="245"/>
      <c r="C21" s="246"/>
      <c r="D21" s="246"/>
      <c r="E21" s="246"/>
      <c r="F21" s="246"/>
      <c r="G21" s="246"/>
      <c r="H21" s="246"/>
      <c r="I21" s="246"/>
      <c r="J21" s="246"/>
      <c r="K21" s="247"/>
    </row>
    <row r="22" spans="2:11">
      <c r="B22" s="245"/>
      <c r="C22" s="246"/>
      <c r="D22" s="246"/>
      <c r="E22" s="246"/>
      <c r="F22" s="246"/>
      <c r="G22" s="246"/>
      <c r="H22" s="246"/>
      <c r="I22" s="140" t="s">
        <v>56</v>
      </c>
      <c r="J22" s="140" t="s">
        <v>57</v>
      </c>
      <c r="K22" s="247"/>
    </row>
    <row r="23" spans="2:11">
      <c r="B23" s="245"/>
      <c r="C23" s="246"/>
      <c r="D23" s="246"/>
      <c r="E23" s="246"/>
      <c r="F23" s="246"/>
      <c r="G23" s="246"/>
      <c r="H23" s="246"/>
      <c r="I23" s="141">
        <f>J13</f>
        <v>826.66666666666663</v>
      </c>
      <c r="J23" s="141">
        <f>-J14</f>
        <v>339.99999999999994</v>
      </c>
      <c r="K23" s="247"/>
    </row>
    <row r="24" spans="2:11">
      <c r="B24" s="245"/>
      <c r="C24" s="246"/>
      <c r="D24" s="246"/>
      <c r="E24" s="246"/>
      <c r="F24" s="246"/>
      <c r="G24" s="246"/>
      <c r="H24" s="246"/>
      <c r="I24" s="141">
        <v>0</v>
      </c>
      <c r="J24" s="141">
        <f ca="1">-J15</f>
        <v>166.20329166666667</v>
      </c>
      <c r="K24" s="247"/>
    </row>
    <row r="25" spans="2:11">
      <c r="B25" s="245"/>
      <c r="C25" s="246"/>
      <c r="D25" s="246"/>
      <c r="E25" s="246"/>
      <c r="F25" s="246"/>
      <c r="G25" s="246"/>
      <c r="H25" s="246"/>
      <c r="I25" s="141">
        <v>0</v>
      </c>
      <c r="J25" s="141">
        <f ca="1">-J16</f>
        <v>479.09244293439201</v>
      </c>
      <c r="K25" s="247"/>
    </row>
    <row r="26" spans="2:11">
      <c r="B26" s="245"/>
      <c r="C26" s="246"/>
      <c r="D26" s="246"/>
      <c r="E26" s="246"/>
      <c r="F26" s="246"/>
      <c r="G26" s="246"/>
      <c r="H26" s="246"/>
      <c r="I26" s="246"/>
      <c r="K26" s="247"/>
    </row>
    <row r="27" spans="2:11">
      <c r="B27" s="245"/>
      <c r="C27" s="246"/>
      <c r="D27" s="246"/>
      <c r="E27" s="246"/>
      <c r="F27" s="246"/>
      <c r="G27" s="246"/>
      <c r="H27" s="246"/>
      <c r="I27" s="246"/>
      <c r="J27" s="246"/>
      <c r="K27" s="247"/>
    </row>
    <row r="28" spans="2:11">
      <c r="B28" s="245"/>
      <c r="C28" s="246"/>
      <c r="D28" s="246"/>
      <c r="E28" s="246"/>
      <c r="F28" s="246"/>
      <c r="G28" s="246"/>
      <c r="H28" s="246"/>
      <c r="I28" s="246"/>
      <c r="J28" s="246"/>
      <c r="K28" s="247"/>
    </row>
    <row r="29" spans="2:11">
      <c r="B29" s="245"/>
      <c r="C29" s="246"/>
      <c r="D29" s="246"/>
      <c r="E29" s="246"/>
      <c r="F29" s="246"/>
      <c r="G29" s="246"/>
      <c r="H29" s="246"/>
      <c r="I29" s="246"/>
      <c r="J29" s="246"/>
      <c r="K29" s="247"/>
    </row>
    <row r="30" spans="2:11">
      <c r="B30" s="245"/>
      <c r="C30" s="246"/>
      <c r="D30" s="246"/>
      <c r="E30" s="246"/>
      <c r="F30" s="246"/>
      <c r="G30" s="246"/>
      <c r="H30" s="246"/>
      <c r="I30" s="246"/>
      <c r="J30" s="246"/>
      <c r="K30" s="247"/>
    </row>
    <row r="31" spans="2:11">
      <c r="B31" s="245"/>
      <c r="C31" s="246"/>
      <c r="D31" s="246"/>
      <c r="E31" s="246"/>
      <c r="F31" s="246"/>
      <c r="G31" s="246"/>
      <c r="H31" s="246"/>
      <c r="I31" s="246"/>
      <c r="J31" s="246"/>
      <c r="K31" s="247"/>
    </row>
    <row r="32" spans="2:11">
      <c r="B32" s="245"/>
      <c r="C32" s="246"/>
      <c r="D32" s="246"/>
      <c r="E32" s="246"/>
      <c r="F32" s="246"/>
      <c r="G32" s="246"/>
      <c r="H32" s="246"/>
      <c r="I32" s="246"/>
      <c r="J32" s="246"/>
      <c r="K32" s="247"/>
    </row>
    <row r="33" spans="2:11" ht="15" thickBot="1">
      <c r="B33" s="249"/>
      <c r="C33" s="248"/>
      <c r="D33" s="248"/>
      <c r="E33" s="248"/>
      <c r="F33" s="248"/>
      <c r="G33" s="248"/>
      <c r="H33" s="248"/>
      <c r="I33" s="248"/>
      <c r="J33" s="248"/>
      <c r="K33" s="250"/>
    </row>
  </sheetData>
  <mergeCells count="11">
    <mergeCell ref="D3:J3"/>
    <mergeCell ref="G20:I20"/>
    <mergeCell ref="F12:G12"/>
    <mergeCell ref="C7:D7"/>
    <mergeCell ref="F7:G7"/>
    <mergeCell ref="I7:J7"/>
    <mergeCell ref="C12:D12"/>
    <mergeCell ref="I12:J12"/>
    <mergeCell ref="C5:D5"/>
    <mergeCell ref="F5:G5"/>
    <mergeCell ref="I5:J5"/>
  </mergeCells>
  <printOptions horizontalCentered="1" verticalCentered="1"/>
  <pageMargins left="0.11811023622047245" right="0.11811023622047245" top="0.19685039370078741" bottom="0.19685039370078741"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autoPageBreaks="0" fitToPage="1"/>
  </sheetPr>
  <dimension ref="B1:K373"/>
  <sheetViews>
    <sheetView showGridLines="0" zoomScaleNormal="100" workbookViewId="0">
      <pane ySplit="13" topLeftCell="A32" activePane="bottomLeft" state="frozen"/>
      <selection activeCell="F17" sqref="A1:XFD1048576"/>
      <selection pane="bottomLeft" activeCell="K5" sqref="K5"/>
    </sheetView>
  </sheetViews>
  <sheetFormatPr baseColWidth="10" defaultColWidth="10.28515625" defaultRowHeight="14.25"/>
  <cols>
    <col min="1" max="1" width="3" style="184" customWidth="1"/>
    <col min="2" max="2" width="4.28515625" style="184" bestFit="1" customWidth="1"/>
    <col min="3" max="3" width="28.85546875" style="184" bestFit="1" customWidth="1"/>
    <col min="4" max="4" width="20.7109375" style="184" bestFit="1" customWidth="1"/>
    <col min="5" max="5" width="14.42578125" style="184" bestFit="1" customWidth="1"/>
    <col min="6" max="6" width="34.7109375" style="184" bestFit="1" customWidth="1"/>
    <col min="7" max="7" width="24.42578125" style="184" bestFit="1" customWidth="1"/>
    <col min="8" max="8" width="12" style="184" bestFit="1" customWidth="1"/>
    <col min="9" max="9" width="17.85546875" style="184" bestFit="1" customWidth="1"/>
    <col min="10" max="10" width="14.85546875" style="184" bestFit="1" customWidth="1"/>
    <col min="11" max="11" width="15.5703125" style="184" bestFit="1" customWidth="1"/>
    <col min="12" max="16384" width="10.28515625" style="184"/>
  </cols>
  <sheetData>
    <row r="1" spans="2:11" s="206" customFormat="1" ht="5.25"/>
    <row r="2" spans="2:11" ht="21" thickBot="1">
      <c r="B2" s="308" t="s">
        <v>172</v>
      </c>
      <c r="C2" s="308"/>
      <c r="D2" s="308"/>
      <c r="E2" s="181"/>
      <c r="F2" s="182" t="s">
        <v>178</v>
      </c>
      <c r="G2" s="183" t="str">
        <f>Immobilie!$C$5</f>
        <v>Meine Immobilie</v>
      </c>
      <c r="H2" s="181"/>
      <c r="I2" s="181"/>
      <c r="J2" s="181"/>
      <c r="K2" s="181"/>
    </row>
    <row r="3" spans="2:11" ht="15">
      <c r="B3" s="185"/>
      <c r="C3" s="186"/>
      <c r="D3" s="186"/>
      <c r="E3" s="187"/>
      <c r="F3" s="187"/>
      <c r="G3" s="187"/>
      <c r="H3" s="187"/>
      <c r="I3" s="187"/>
      <c r="J3" s="187"/>
      <c r="K3" s="187"/>
    </row>
    <row r="4" spans="2:11" ht="15.75" thickBot="1">
      <c r="C4" s="188" t="s">
        <v>173</v>
      </c>
      <c r="D4" s="189"/>
      <c r="F4" s="188" t="s">
        <v>125</v>
      </c>
      <c r="G4" s="189"/>
      <c r="I4" s="188" t="s">
        <v>64</v>
      </c>
      <c r="J4" s="188"/>
      <c r="K4" s="188"/>
    </row>
    <row r="5" spans="2:11">
      <c r="C5" s="222" t="s">
        <v>126</v>
      </c>
      <c r="D5" s="223">
        <f>Immobilie!C13</f>
        <v>133855</v>
      </c>
      <c r="F5" s="222" t="s">
        <v>127</v>
      </c>
      <c r="G5" s="224">
        <f ca="1">IF(DarlehenIstGut,-PMT(ZinsSatz/ZahlungenProJahr,PlanmäßigeAnzahlZahlungen,DarlehensBetrag),"")</f>
        <v>645.29573460105871</v>
      </c>
      <c r="I5" s="225" t="s">
        <v>74</v>
      </c>
      <c r="J5" s="226">
        <f>Übersicht!$N$22</f>
        <v>5000</v>
      </c>
      <c r="K5" s="227">
        <f>(-PMT(D6/D10,D7*D10,D5-J5))-(-PMT(D6/D10,D7*D10,D5))</f>
        <v>-24.104282044042407</v>
      </c>
    </row>
    <row r="6" spans="2:11">
      <c r="C6" s="228" t="s">
        <v>128</v>
      </c>
      <c r="D6" s="229">
        <f>Immobilie!C14</f>
        <v>1.49E-2</v>
      </c>
      <c r="F6" s="228" t="s">
        <v>164</v>
      </c>
      <c r="G6" s="230">
        <f ca="1">SUM($H$14:$H$25)/DarlehensBetrag</f>
        <v>4.3244808899957098E-2</v>
      </c>
      <c r="I6" s="231" t="s">
        <v>75</v>
      </c>
      <c r="J6" s="309">
        <f>Übersicht!$N$24</f>
        <v>-3.0000000000000001E-3</v>
      </c>
      <c r="K6" s="232">
        <f>(D10*D7*PMT((D6+J6)/D10,D7*D10,-D5,,0)-D5)-(D10*D7*PMT(D6/D10,D7*D10,-D5,,0)-D5)</f>
        <v>-4389.9401712453982</v>
      </c>
    </row>
    <row r="7" spans="2:11">
      <c r="C7" s="228" t="s">
        <v>130</v>
      </c>
      <c r="D7" s="233">
        <f>Immobilie!C16</f>
        <v>20</v>
      </c>
      <c r="F7" s="228" t="s">
        <v>129</v>
      </c>
      <c r="G7" s="234">
        <f ca="1">IF(DarlehenIstGut,DarlehensZeitraum*ZahlungenProJahr,"")</f>
        <v>240</v>
      </c>
      <c r="I7" s="225" t="s">
        <v>74</v>
      </c>
      <c r="J7" s="310"/>
      <c r="K7" s="227">
        <f>(-PMT((D6+J6)/D10,D7*D10,D5))-(-PMT(D6/D10,D7*D10,D5))</f>
        <v>-18.291417380189159</v>
      </c>
    </row>
    <row r="8" spans="2:11">
      <c r="C8" s="228" t="s">
        <v>159</v>
      </c>
      <c r="D8" s="235">
        <f>Immobilie!C15</f>
        <v>10</v>
      </c>
      <c r="F8" s="228" t="s">
        <v>131</v>
      </c>
      <c r="G8" s="234">
        <f ca="1">TatsächlicheAnzahlZahlungen</f>
        <v>241</v>
      </c>
      <c r="I8" s="312" t="s">
        <v>77</v>
      </c>
      <c r="J8" s="312"/>
      <c r="K8" s="236">
        <f>Immobilie!C11-Immobilie!C32</f>
        <v>16145</v>
      </c>
    </row>
    <row r="9" spans="2:11">
      <c r="C9" s="228" t="s">
        <v>160</v>
      </c>
      <c r="D9" s="229">
        <f>Immobilie!C17</f>
        <v>2.5000000000000001E-2</v>
      </c>
      <c r="F9" s="228" t="s">
        <v>133</v>
      </c>
      <c r="G9" s="237">
        <f ca="1">SummeVorzeitigerZahlungen</f>
        <v>0</v>
      </c>
      <c r="I9" s="238" t="s">
        <v>78</v>
      </c>
      <c r="J9" s="239"/>
      <c r="K9" s="240">
        <f>Immobilie!C11/(Immobilie!C10+Immobilie!C32)</f>
        <v>0.20727843415948594</v>
      </c>
    </row>
    <row r="10" spans="2:11">
      <c r="C10" s="228" t="s">
        <v>132</v>
      </c>
      <c r="D10" s="233">
        <f>Immobilie!C23</f>
        <v>12</v>
      </c>
      <c r="F10" s="228" t="s">
        <v>135</v>
      </c>
      <c r="G10" s="237">
        <f ca="1">ZinsenGesamt</f>
        <v>33132.440626869022</v>
      </c>
      <c r="I10" s="311"/>
      <c r="J10" s="311"/>
      <c r="K10" s="311"/>
    </row>
    <row r="11" spans="2:11">
      <c r="C11" s="228" t="s">
        <v>136</v>
      </c>
      <c r="D11" s="241">
        <v>0</v>
      </c>
      <c r="F11" s="228" t="s">
        <v>134</v>
      </c>
      <c r="G11" s="242">
        <f ca="1">TODAY()</f>
        <v>45326</v>
      </c>
      <c r="I11" s="313" t="s">
        <v>80</v>
      </c>
      <c r="J11" s="313"/>
      <c r="K11" s="243">
        <f ca="1">SUM(H18:H49)</f>
        <v>15707.484346904012</v>
      </c>
    </row>
    <row r="12" spans="2:11">
      <c r="I12" s="190"/>
    </row>
    <row r="13" spans="2:11" ht="31.9" customHeight="1">
      <c r="B13" s="191" t="s">
        <v>174</v>
      </c>
      <c r="C13" s="191" t="s">
        <v>137</v>
      </c>
      <c r="D13" s="192" t="s">
        <v>138</v>
      </c>
      <c r="E13" s="197" t="s">
        <v>171</v>
      </c>
      <c r="F13" s="192" t="s">
        <v>139</v>
      </c>
      <c r="G13" s="192" t="s">
        <v>140</v>
      </c>
      <c r="H13" s="192" t="s">
        <v>141</v>
      </c>
      <c r="I13" s="192" t="s">
        <v>142</v>
      </c>
      <c r="J13" s="192" t="s">
        <v>143</v>
      </c>
      <c r="K13" s="197" t="s">
        <v>217</v>
      </c>
    </row>
    <row r="14" spans="2:11">
      <c r="B14" s="193">
        <f ca="1">IF(DarlehenIstGut,IF(ROW()-ROW(ZahlungsZeitplan[[#Headers],['#]])&gt;PlanmäßigeAnzahlZahlungen,"",ROW()-ROW(ZahlungsZeitplan[[#Headers],['#]])),"")</f>
        <v>1</v>
      </c>
      <c r="C14" s="194">
        <f ca="1">IF(ZahlungsZeitplan[[#This Row],['#]]&lt;&gt;"",EOMONTH(DarlehensAnfangsDatum,ROW(ZahlungsZeitplan[[#This Row],['#]])-ROW(ZahlungsZeitplan[[#Headers],['#]])-2)+DAY(DarlehensAnfangsDatum),"")</f>
        <v>45326</v>
      </c>
      <c r="D14" s="195">
        <f ca="1">IF(ZahlungsZeitplan[[#This Row],['#]]&lt;&gt;"",IF(ROW()-ROW(ZahlungsZeitplan[[#Headers],[ANFANGSSALDO]])=1,DarlehensBetrag,INDEX(ZahlungsZeitplan[ENDSALDO],ROW()-ROW(ZahlungsZeitplan[[#Headers],[ANFANGSSALDO]])-1)),"")</f>
        <v>133855</v>
      </c>
      <c r="E14" s="195">
        <f ca="1">IF(ZahlungsZeitplan[[#This Row],['#]]&lt;&gt;"",PlanmäßigeZahlung,"")</f>
        <v>645.29573460105871</v>
      </c>
      <c r="F1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 s="195">
        <f ca="1">IF(ZahlungsZeitplan[[#This Row],['#]]&lt;&gt;"",ZahlungsZeitplan[[#This Row],[GESAMTZAHLUNG]]-ZahlungsZeitplan[[#This Row],[ZINSEN]],"")</f>
        <v>479.09244293439201</v>
      </c>
      <c r="I14" s="195">
        <f ca="1">IF(ZahlungsZeitplan[[#This Row],['#]]&lt;=($D$8*12),IF(ZahlungsZeitplan[[#This Row],['#]]&lt;&gt;"",ZahlungsZeitplan[[#This Row],[ANFANGSSALDO]]*(ZinsSatz/ZahlungenProJahr),""),IF(ZahlungsZeitplan[[#This Row],['#]]&lt;&gt;"",ZahlungsZeitplan[[#This Row],[ANFANGSSALDO]]*((ZinsSatz+$D$9)/ZahlungenProJahr),""))</f>
        <v>166.20329166666667</v>
      </c>
      <c r="J14" s="195">
        <f ca="1">IF(ZahlungsZeitplan[[#This Row],['#]]&lt;&gt;"",IF(ZahlungsZeitplan[[#This Row],[Zahlungen (Plan)]]+ZahlungsZeitplan[[#This Row],[SONDERZAHLUNG]]&lt;=ZahlungsZeitplan[[#This Row],[ANFANGSSALDO]],ZahlungsZeitplan[[#This Row],[ANFANGSSALDO]]-ZahlungsZeitplan[[#This Row],[KAPITAL]],0),"")</f>
        <v>133375.9075570656</v>
      </c>
      <c r="K14" s="195">
        <f ca="1">IF(ZahlungsZeitplan[[#This Row],['#]]&lt;&gt;"",SUM(INDEX(ZahlungsZeitplan[ZINSEN],1,1):ZahlungsZeitplan[[#This Row],[ZINSEN]]),"")</f>
        <v>166.20329166666667</v>
      </c>
    </row>
    <row r="15" spans="2:11">
      <c r="B15" s="193">
        <f ca="1">IF(DarlehenIstGut,IF(ROW()-ROW(ZahlungsZeitplan[[#Headers],['#]])&gt;PlanmäßigeAnzahlZahlungen,"",ROW()-ROW(ZahlungsZeitplan[[#Headers],['#]])),"")</f>
        <v>2</v>
      </c>
      <c r="C15" s="194">
        <f ca="1">IF(ZahlungsZeitplan[[#This Row],['#]]&lt;&gt;"",EOMONTH(DarlehensAnfangsDatum,ROW(ZahlungsZeitplan[[#This Row],['#]])-ROW(ZahlungsZeitplan[[#Headers],['#]])-2)+DAY(DarlehensAnfangsDatum),"")</f>
        <v>45355</v>
      </c>
      <c r="D15" s="195">
        <f ca="1">IF(ZahlungsZeitplan[[#This Row],['#]]&lt;&gt;"",IF(ROW()-ROW(ZahlungsZeitplan[[#Headers],[ANFANGSSALDO]])=1,DarlehensBetrag,INDEX(ZahlungsZeitplan[ENDSALDO],ROW()-ROW(ZahlungsZeitplan[[#Headers],[ANFANGSSALDO]])-1)),"")</f>
        <v>133375.9075570656</v>
      </c>
      <c r="E15" s="195">
        <f ca="1">IF(ZahlungsZeitplan[[#This Row],['#]]&lt;&gt;"",PlanmäßigeZahlung,"")</f>
        <v>645.29573460105871</v>
      </c>
      <c r="F1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 s="195">
        <f ca="1">IF(ZahlungsZeitplan[[#This Row],['#]]&lt;&gt;"",ZahlungsZeitplan[[#This Row],[GESAMTZAHLUNG]]-ZahlungsZeitplan[[#This Row],[ZINSEN]],"")</f>
        <v>479.68731605103562</v>
      </c>
      <c r="I15" s="195">
        <f ca="1">IF(ZahlungsZeitplan[[#This Row],['#]]&lt;=($D$8*12),IF(ZahlungsZeitplan[[#This Row],['#]]&lt;&gt;"",ZahlungsZeitplan[[#This Row],[ANFANGSSALDO]]*(ZinsSatz/ZahlungenProJahr),""),IF(ZahlungsZeitplan[[#This Row],['#]]&lt;&gt;"",ZahlungsZeitplan[[#This Row],[ANFANGSSALDO]]*((ZinsSatz+$D$9)/ZahlungenProJahr),""))</f>
        <v>165.60841855002312</v>
      </c>
      <c r="J15" s="195">
        <f ca="1">IF(ZahlungsZeitplan[[#This Row],['#]]&lt;&gt;"",IF(ZahlungsZeitplan[[#This Row],[Zahlungen (Plan)]]+ZahlungsZeitplan[[#This Row],[SONDERZAHLUNG]]&lt;=ZahlungsZeitplan[[#This Row],[ANFANGSSALDO]],ZahlungsZeitplan[[#This Row],[ANFANGSSALDO]]-ZahlungsZeitplan[[#This Row],[KAPITAL]],0),"")</f>
        <v>132896.22024101455</v>
      </c>
      <c r="K15" s="195">
        <f ca="1">IF(ZahlungsZeitplan[[#This Row],['#]]&lt;&gt;"",SUM(INDEX(ZahlungsZeitplan[ZINSEN],1,1):ZahlungsZeitplan[[#This Row],[ZINSEN]]),"")</f>
        <v>331.81171021668979</v>
      </c>
    </row>
    <row r="16" spans="2:11">
      <c r="B16" s="193">
        <f ca="1">IF(DarlehenIstGut,IF(ROW()-ROW(ZahlungsZeitplan[[#Headers],['#]])&gt;PlanmäßigeAnzahlZahlungen,"",ROW()-ROW(ZahlungsZeitplan[[#Headers],['#]])),"")</f>
        <v>3</v>
      </c>
      <c r="C16" s="194">
        <f ca="1">IF(ZahlungsZeitplan[[#This Row],['#]]&lt;&gt;"",EOMONTH(DarlehensAnfangsDatum,ROW(ZahlungsZeitplan[[#This Row],['#]])-ROW(ZahlungsZeitplan[[#Headers],['#]])-2)+DAY(DarlehensAnfangsDatum),"")</f>
        <v>45386</v>
      </c>
      <c r="D16" s="195">
        <f ca="1">IF(ZahlungsZeitplan[[#This Row],['#]]&lt;&gt;"",IF(ROW()-ROW(ZahlungsZeitplan[[#Headers],[ANFANGSSALDO]])=1,DarlehensBetrag,INDEX(ZahlungsZeitplan[ENDSALDO],ROW()-ROW(ZahlungsZeitplan[[#Headers],[ANFANGSSALDO]])-1)),"")</f>
        <v>132896.22024101455</v>
      </c>
      <c r="E16" s="195">
        <f ca="1">IF(ZahlungsZeitplan[[#This Row],['#]]&lt;&gt;"",PlanmäßigeZahlung,"")</f>
        <v>645.29573460105871</v>
      </c>
      <c r="F1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 s="195">
        <f ca="1">IF(ZahlungsZeitplan[[#This Row],['#]]&lt;&gt;"",ZahlungsZeitplan[[#This Row],[GESAMTZAHLUNG]]-ZahlungsZeitplan[[#This Row],[ZINSEN]],"")</f>
        <v>480.28292780179896</v>
      </c>
      <c r="I16" s="195">
        <f ca="1">IF(ZahlungsZeitplan[[#This Row],['#]]&lt;=($D$8*12),IF(ZahlungsZeitplan[[#This Row],['#]]&lt;&gt;"",ZahlungsZeitplan[[#This Row],[ANFANGSSALDO]]*(ZinsSatz/ZahlungenProJahr),""),IF(ZahlungsZeitplan[[#This Row],['#]]&lt;&gt;"",ZahlungsZeitplan[[#This Row],[ANFANGSSALDO]]*((ZinsSatz+$D$9)/ZahlungenProJahr),""))</f>
        <v>165.01280679925975</v>
      </c>
      <c r="J16" s="195">
        <f ca="1">IF(ZahlungsZeitplan[[#This Row],['#]]&lt;&gt;"",IF(ZahlungsZeitplan[[#This Row],[Zahlungen (Plan)]]+ZahlungsZeitplan[[#This Row],[SONDERZAHLUNG]]&lt;=ZahlungsZeitplan[[#This Row],[ANFANGSSALDO]],ZahlungsZeitplan[[#This Row],[ANFANGSSALDO]]-ZahlungsZeitplan[[#This Row],[KAPITAL]],0),"")</f>
        <v>132415.93731321275</v>
      </c>
      <c r="K16" s="195">
        <f ca="1">IF(ZahlungsZeitplan[[#This Row],['#]]&lt;&gt;"",SUM(INDEX(ZahlungsZeitplan[ZINSEN],1,1):ZahlungsZeitplan[[#This Row],[ZINSEN]]),"")</f>
        <v>496.82451701594954</v>
      </c>
    </row>
    <row r="17" spans="2:11">
      <c r="B17" s="193">
        <f ca="1">IF(DarlehenIstGut,IF(ROW()-ROW(ZahlungsZeitplan[[#Headers],['#]])&gt;PlanmäßigeAnzahlZahlungen,"",ROW()-ROW(ZahlungsZeitplan[[#Headers],['#]])),"")</f>
        <v>4</v>
      </c>
      <c r="C17" s="194">
        <f ca="1">IF(ZahlungsZeitplan[[#This Row],['#]]&lt;&gt;"",EOMONTH(DarlehensAnfangsDatum,ROW(ZahlungsZeitplan[[#This Row],['#]])-ROW(ZahlungsZeitplan[[#Headers],['#]])-2)+DAY(DarlehensAnfangsDatum),"")</f>
        <v>45416</v>
      </c>
      <c r="D17" s="195">
        <f ca="1">IF(ZahlungsZeitplan[[#This Row],['#]]&lt;&gt;"",IF(ROW()-ROW(ZahlungsZeitplan[[#Headers],[ANFANGSSALDO]])=1,DarlehensBetrag,INDEX(ZahlungsZeitplan[ENDSALDO],ROW()-ROW(ZahlungsZeitplan[[#Headers],[ANFANGSSALDO]])-1)),"")</f>
        <v>132415.93731321275</v>
      </c>
      <c r="E17" s="195">
        <f ca="1">IF(ZahlungsZeitplan[[#This Row],['#]]&lt;&gt;"",PlanmäßigeZahlung,"")</f>
        <v>645.29573460105871</v>
      </c>
      <c r="F1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 s="195">
        <f ca="1">IF(ZahlungsZeitplan[[#This Row],['#]]&lt;&gt;"",ZahlungsZeitplan[[#This Row],[GESAMTZAHLUNG]]-ZahlungsZeitplan[[#This Row],[ZINSEN]],"")</f>
        <v>480.8792791038195</v>
      </c>
      <c r="I17" s="195">
        <f ca="1">IF(ZahlungsZeitplan[[#This Row],['#]]&lt;=($D$8*12),IF(ZahlungsZeitplan[[#This Row],['#]]&lt;&gt;"",ZahlungsZeitplan[[#This Row],[ANFANGSSALDO]]*(ZinsSatz/ZahlungenProJahr),""),IF(ZahlungsZeitplan[[#This Row],['#]]&lt;&gt;"",ZahlungsZeitplan[[#This Row],[ANFANGSSALDO]]*((ZinsSatz+$D$9)/ZahlungenProJahr),""))</f>
        <v>164.41645549723918</v>
      </c>
      <c r="J17" s="195">
        <f ca="1">IF(ZahlungsZeitplan[[#This Row],['#]]&lt;&gt;"",IF(ZahlungsZeitplan[[#This Row],[Zahlungen (Plan)]]+ZahlungsZeitplan[[#This Row],[SONDERZAHLUNG]]&lt;=ZahlungsZeitplan[[#This Row],[ANFANGSSALDO]],ZahlungsZeitplan[[#This Row],[ANFANGSSALDO]]-ZahlungsZeitplan[[#This Row],[KAPITAL]],0),"")</f>
        <v>131935.05803410892</v>
      </c>
      <c r="K17" s="195">
        <f ca="1">IF(ZahlungsZeitplan[[#This Row],['#]]&lt;&gt;"",SUM(INDEX(ZahlungsZeitplan[ZINSEN],1,1):ZahlungsZeitplan[[#This Row],[ZINSEN]]),"")</f>
        <v>661.24097251318869</v>
      </c>
    </row>
    <row r="18" spans="2:11">
      <c r="B18" s="193">
        <f ca="1">IF(DarlehenIstGut,IF(ROW()-ROW(ZahlungsZeitplan[[#Headers],['#]])&gt;PlanmäßigeAnzahlZahlungen,"",ROW()-ROW(ZahlungsZeitplan[[#Headers],['#]])),"")</f>
        <v>5</v>
      </c>
      <c r="C18" s="194">
        <f ca="1">IF(ZahlungsZeitplan[[#This Row],['#]]&lt;&gt;"",EOMONTH(DarlehensAnfangsDatum,ROW(ZahlungsZeitplan[[#This Row],['#]])-ROW(ZahlungsZeitplan[[#Headers],['#]])-2)+DAY(DarlehensAnfangsDatum),"")</f>
        <v>45447</v>
      </c>
      <c r="D18" s="195">
        <f ca="1">IF(ZahlungsZeitplan[[#This Row],['#]]&lt;&gt;"",IF(ROW()-ROW(ZahlungsZeitplan[[#Headers],[ANFANGSSALDO]])=1,DarlehensBetrag,INDEX(ZahlungsZeitplan[ENDSALDO],ROW()-ROW(ZahlungsZeitplan[[#Headers],[ANFANGSSALDO]])-1)),"")</f>
        <v>131935.05803410892</v>
      </c>
      <c r="E18" s="195">
        <f ca="1">IF(ZahlungsZeitplan[[#This Row],['#]]&lt;&gt;"",PlanmäßigeZahlung,"")</f>
        <v>645.29573460105871</v>
      </c>
      <c r="F1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 s="195">
        <f ca="1">IF(ZahlungsZeitplan[[#This Row],['#]]&lt;&gt;"",ZahlungsZeitplan[[#This Row],[GESAMTZAHLUNG]]-ZahlungsZeitplan[[#This Row],[ZINSEN]],"")</f>
        <v>481.47637087537345</v>
      </c>
      <c r="I18" s="195">
        <f ca="1">IF(ZahlungsZeitplan[[#This Row],['#]]&lt;=($D$8*12),IF(ZahlungsZeitplan[[#This Row],['#]]&lt;&gt;"",ZahlungsZeitplan[[#This Row],[ANFANGSSALDO]]*(ZinsSatz/ZahlungenProJahr),""),IF(ZahlungsZeitplan[[#This Row],['#]]&lt;&gt;"",ZahlungsZeitplan[[#This Row],[ANFANGSSALDO]]*((ZinsSatz+$D$9)/ZahlungenProJahr),""))</f>
        <v>163.81936372568526</v>
      </c>
      <c r="J18" s="195">
        <f ca="1">IF(ZahlungsZeitplan[[#This Row],['#]]&lt;&gt;"",IF(ZahlungsZeitplan[[#This Row],[Zahlungen (Plan)]]+ZahlungsZeitplan[[#This Row],[SONDERZAHLUNG]]&lt;=ZahlungsZeitplan[[#This Row],[ANFANGSSALDO]],ZahlungsZeitplan[[#This Row],[ANFANGSSALDO]]-ZahlungsZeitplan[[#This Row],[KAPITAL]],0),"")</f>
        <v>131453.58166323355</v>
      </c>
      <c r="K18" s="195">
        <f ca="1">IF(ZahlungsZeitplan[[#This Row],['#]]&lt;&gt;"",SUM(INDEX(ZahlungsZeitplan[ZINSEN],1,1):ZahlungsZeitplan[[#This Row],[ZINSEN]]),"")</f>
        <v>825.06033623887402</v>
      </c>
    </row>
    <row r="19" spans="2:11">
      <c r="B19" s="193">
        <f ca="1">IF(DarlehenIstGut,IF(ROW()-ROW(ZahlungsZeitplan[[#Headers],['#]])&gt;PlanmäßigeAnzahlZahlungen,"",ROW()-ROW(ZahlungsZeitplan[[#Headers],['#]])),"")</f>
        <v>6</v>
      </c>
      <c r="C19" s="194">
        <f ca="1">IF(ZahlungsZeitplan[[#This Row],['#]]&lt;&gt;"",EOMONTH(DarlehensAnfangsDatum,ROW(ZahlungsZeitplan[[#This Row],['#]])-ROW(ZahlungsZeitplan[[#Headers],['#]])-2)+DAY(DarlehensAnfangsDatum),"")</f>
        <v>45477</v>
      </c>
      <c r="D19" s="195">
        <f ca="1">IF(ZahlungsZeitplan[[#This Row],['#]]&lt;&gt;"",IF(ROW()-ROW(ZahlungsZeitplan[[#Headers],[ANFANGSSALDO]])=1,DarlehensBetrag,INDEX(ZahlungsZeitplan[ENDSALDO],ROW()-ROW(ZahlungsZeitplan[[#Headers],[ANFANGSSALDO]])-1)),"")</f>
        <v>131453.58166323355</v>
      </c>
      <c r="E19" s="195">
        <f ca="1">IF(ZahlungsZeitplan[[#This Row],['#]]&lt;&gt;"",PlanmäßigeZahlung,"")</f>
        <v>645.29573460105871</v>
      </c>
      <c r="F1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 s="195">
        <f ca="1">IF(ZahlungsZeitplan[[#This Row],['#]]&lt;&gt;"",ZahlungsZeitplan[[#This Row],[GESAMTZAHLUNG]]-ZahlungsZeitplan[[#This Row],[ZINSEN]],"")</f>
        <v>482.07420403587707</v>
      </c>
      <c r="I19" s="195">
        <f ca="1">IF(ZahlungsZeitplan[[#This Row],['#]]&lt;=($D$8*12),IF(ZahlungsZeitplan[[#This Row],['#]]&lt;&gt;"",ZahlungsZeitplan[[#This Row],[ANFANGSSALDO]]*(ZinsSatz/ZahlungenProJahr),""),IF(ZahlungsZeitplan[[#This Row],['#]]&lt;&gt;"",ZahlungsZeitplan[[#This Row],[ANFANGSSALDO]]*((ZinsSatz+$D$9)/ZahlungenProJahr),""))</f>
        <v>163.22153056518167</v>
      </c>
      <c r="J19" s="195">
        <f ca="1">IF(ZahlungsZeitplan[[#This Row],['#]]&lt;&gt;"",IF(ZahlungsZeitplan[[#This Row],[Zahlungen (Plan)]]+ZahlungsZeitplan[[#This Row],[SONDERZAHLUNG]]&lt;=ZahlungsZeitplan[[#This Row],[ANFANGSSALDO]],ZahlungsZeitplan[[#This Row],[ANFANGSSALDO]]-ZahlungsZeitplan[[#This Row],[KAPITAL]],0),"")</f>
        <v>130971.50745919767</v>
      </c>
      <c r="K19" s="195">
        <f ca="1">IF(ZahlungsZeitplan[[#This Row],['#]]&lt;&gt;"",SUM(INDEX(ZahlungsZeitplan[ZINSEN],1,1):ZahlungsZeitplan[[#This Row],[ZINSEN]]),"")</f>
        <v>988.28186680405565</v>
      </c>
    </row>
    <row r="20" spans="2:11">
      <c r="B20" s="193">
        <f ca="1">IF(DarlehenIstGut,IF(ROW()-ROW(ZahlungsZeitplan[[#Headers],['#]])&gt;PlanmäßigeAnzahlZahlungen,"",ROW()-ROW(ZahlungsZeitplan[[#Headers],['#]])),"")</f>
        <v>7</v>
      </c>
      <c r="C20" s="194">
        <f ca="1">IF(ZahlungsZeitplan[[#This Row],['#]]&lt;&gt;"",EOMONTH(DarlehensAnfangsDatum,ROW(ZahlungsZeitplan[[#This Row],['#]])-ROW(ZahlungsZeitplan[[#Headers],['#]])-2)+DAY(DarlehensAnfangsDatum),"")</f>
        <v>45508</v>
      </c>
      <c r="D20" s="195">
        <f ca="1">IF(ZahlungsZeitplan[[#This Row],['#]]&lt;&gt;"",IF(ROW()-ROW(ZahlungsZeitplan[[#Headers],[ANFANGSSALDO]])=1,DarlehensBetrag,INDEX(ZahlungsZeitplan[ENDSALDO],ROW()-ROW(ZahlungsZeitplan[[#Headers],[ANFANGSSALDO]])-1)),"")</f>
        <v>130971.50745919767</v>
      </c>
      <c r="E20" s="195">
        <f ca="1">IF(ZahlungsZeitplan[[#This Row],['#]]&lt;&gt;"",PlanmäßigeZahlung,"")</f>
        <v>645.29573460105871</v>
      </c>
      <c r="F2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 s="195">
        <f ca="1">IF(ZahlungsZeitplan[[#This Row],['#]]&lt;&gt;"",ZahlungsZeitplan[[#This Row],[GESAMTZAHLUNG]]-ZahlungsZeitplan[[#This Row],[ZINSEN]],"")</f>
        <v>482.67277950588823</v>
      </c>
      <c r="I20" s="195">
        <f ca="1">IF(ZahlungsZeitplan[[#This Row],['#]]&lt;=($D$8*12),IF(ZahlungsZeitplan[[#This Row],['#]]&lt;&gt;"",ZahlungsZeitplan[[#This Row],[ANFANGSSALDO]]*(ZinsSatz/ZahlungenProJahr),""),IF(ZahlungsZeitplan[[#This Row],['#]]&lt;&gt;"",ZahlungsZeitplan[[#This Row],[ANFANGSSALDO]]*((ZinsSatz+$D$9)/ZahlungenProJahr),""))</f>
        <v>162.62295509517045</v>
      </c>
      <c r="J20" s="195">
        <f ca="1">IF(ZahlungsZeitplan[[#This Row],['#]]&lt;&gt;"",IF(ZahlungsZeitplan[[#This Row],[Zahlungen (Plan)]]+ZahlungsZeitplan[[#This Row],[SONDERZAHLUNG]]&lt;=ZahlungsZeitplan[[#This Row],[ANFANGSSALDO]],ZahlungsZeitplan[[#This Row],[ANFANGSSALDO]]-ZahlungsZeitplan[[#This Row],[KAPITAL]],0),"")</f>
        <v>130488.83467969179</v>
      </c>
      <c r="K20" s="195">
        <f ca="1">IF(ZahlungsZeitplan[[#This Row],['#]]&lt;&gt;"",SUM(INDEX(ZahlungsZeitplan[ZINSEN],1,1):ZahlungsZeitplan[[#This Row],[ZINSEN]]),"")</f>
        <v>1150.9048218992261</v>
      </c>
    </row>
    <row r="21" spans="2:11">
      <c r="B21" s="193">
        <f ca="1">IF(DarlehenIstGut,IF(ROW()-ROW(ZahlungsZeitplan[[#Headers],['#]])&gt;PlanmäßigeAnzahlZahlungen,"",ROW()-ROW(ZahlungsZeitplan[[#Headers],['#]])),"")</f>
        <v>8</v>
      </c>
      <c r="C21" s="194">
        <f ca="1">IF(ZahlungsZeitplan[[#This Row],['#]]&lt;&gt;"",EOMONTH(DarlehensAnfangsDatum,ROW(ZahlungsZeitplan[[#This Row],['#]])-ROW(ZahlungsZeitplan[[#Headers],['#]])-2)+DAY(DarlehensAnfangsDatum),"")</f>
        <v>45539</v>
      </c>
      <c r="D21" s="195">
        <f ca="1">IF(ZahlungsZeitplan[[#This Row],['#]]&lt;&gt;"",IF(ROW()-ROW(ZahlungsZeitplan[[#Headers],[ANFANGSSALDO]])=1,DarlehensBetrag,INDEX(ZahlungsZeitplan[ENDSALDO],ROW()-ROW(ZahlungsZeitplan[[#Headers],[ANFANGSSALDO]])-1)),"")</f>
        <v>130488.83467969179</v>
      </c>
      <c r="E21" s="195">
        <f ca="1">IF(ZahlungsZeitplan[[#This Row],['#]]&lt;&gt;"",PlanmäßigeZahlung,"")</f>
        <v>645.29573460105871</v>
      </c>
      <c r="F2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 s="195">
        <f ca="1">IF(ZahlungsZeitplan[[#This Row],['#]]&lt;&gt;"",ZahlungsZeitplan[[#This Row],[GESAMTZAHLUNG]]-ZahlungsZeitplan[[#This Row],[ZINSEN]],"")</f>
        <v>483.27209820710806</v>
      </c>
      <c r="I21" s="195">
        <f ca="1">IF(ZahlungsZeitplan[[#This Row],['#]]&lt;=($D$8*12),IF(ZahlungsZeitplan[[#This Row],['#]]&lt;&gt;"",ZahlungsZeitplan[[#This Row],[ANFANGSSALDO]]*(ZinsSatz/ZahlungenProJahr),""),IF(ZahlungsZeitplan[[#This Row],['#]]&lt;&gt;"",ZahlungsZeitplan[[#This Row],[ANFANGSSALDO]]*((ZinsSatz+$D$9)/ZahlungenProJahr),""))</f>
        <v>162.02363639395065</v>
      </c>
      <c r="J21" s="195">
        <f ca="1">IF(ZahlungsZeitplan[[#This Row],['#]]&lt;&gt;"",IF(ZahlungsZeitplan[[#This Row],[Zahlungen (Plan)]]+ZahlungsZeitplan[[#This Row],[SONDERZAHLUNG]]&lt;=ZahlungsZeitplan[[#This Row],[ANFANGSSALDO]],ZahlungsZeitplan[[#This Row],[ANFANGSSALDO]]-ZahlungsZeitplan[[#This Row],[KAPITAL]],0),"")</f>
        <v>130005.56258148469</v>
      </c>
      <c r="K21" s="195">
        <f ca="1">IF(ZahlungsZeitplan[[#This Row],['#]]&lt;&gt;"",SUM(INDEX(ZahlungsZeitplan[ZINSEN],1,1):ZahlungsZeitplan[[#This Row],[ZINSEN]]),"")</f>
        <v>1312.9284582931768</v>
      </c>
    </row>
    <row r="22" spans="2:11">
      <c r="B22" s="193">
        <f ca="1">IF(DarlehenIstGut,IF(ROW()-ROW(ZahlungsZeitplan[[#Headers],['#]])&gt;PlanmäßigeAnzahlZahlungen,"",ROW()-ROW(ZahlungsZeitplan[[#Headers],['#]])),"")</f>
        <v>9</v>
      </c>
      <c r="C22" s="194">
        <f ca="1">IF(ZahlungsZeitplan[[#This Row],['#]]&lt;&gt;"",EOMONTH(DarlehensAnfangsDatum,ROW(ZahlungsZeitplan[[#This Row],['#]])-ROW(ZahlungsZeitplan[[#Headers],['#]])-2)+DAY(DarlehensAnfangsDatum),"")</f>
        <v>45569</v>
      </c>
      <c r="D22" s="195">
        <f ca="1">IF(ZahlungsZeitplan[[#This Row],['#]]&lt;&gt;"",IF(ROW()-ROW(ZahlungsZeitplan[[#Headers],[ANFANGSSALDO]])=1,DarlehensBetrag,INDEX(ZahlungsZeitplan[ENDSALDO],ROW()-ROW(ZahlungsZeitplan[[#Headers],[ANFANGSSALDO]])-1)),"")</f>
        <v>130005.56258148469</v>
      </c>
      <c r="E22" s="195">
        <f ca="1">IF(ZahlungsZeitplan[[#This Row],['#]]&lt;&gt;"",PlanmäßigeZahlung,"")</f>
        <v>645.29573460105871</v>
      </c>
      <c r="F2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 s="195">
        <f ca="1">IF(ZahlungsZeitplan[[#This Row],['#]]&lt;&gt;"",ZahlungsZeitplan[[#This Row],[GESAMTZAHLUNG]]-ZahlungsZeitplan[[#This Row],[ZINSEN]],"")</f>
        <v>483.87216106238191</v>
      </c>
      <c r="I22" s="195">
        <f ca="1">IF(ZahlungsZeitplan[[#This Row],['#]]&lt;=($D$8*12),IF(ZahlungsZeitplan[[#This Row],['#]]&lt;&gt;"",ZahlungsZeitplan[[#This Row],[ANFANGSSALDO]]*(ZinsSatz/ZahlungenProJahr),""),IF(ZahlungsZeitplan[[#This Row],['#]]&lt;&gt;"",ZahlungsZeitplan[[#This Row],[ANFANGSSALDO]]*((ZinsSatz+$D$9)/ZahlungenProJahr),""))</f>
        <v>161.42357353867683</v>
      </c>
      <c r="J22" s="195">
        <f ca="1">IF(ZahlungsZeitplan[[#This Row],['#]]&lt;&gt;"",IF(ZahlungsZeitplan[[#This Row],[Zahlungen (Plan)]]+ZahlungsZeitplan[[#This Row],[SONDERZAHLUNG]]&lt;=ZahlungsZeitplan[[#This Row],[ANFANGSSALDO]],ZahlungsZeitplan[[#This Row],[ANFANGSSALDO]]-ZahlungsZeitplan[[#This Row],[KAPITAL]],0),"")</f>
        <v>129521.69042042231</v>
      </c>
      <c r="K22" s="195">
        <f ca="1">IF(ZahlungsZeitplan[[#This Row],['#]]&lt;&gt;"",SUM(INDEX(ZahlungsZeitplan[ZINSEN],1,1):ZahlungsZeitplan[[#This Row],[ZINSEN]]),"")</f>
        <v>1474.3520318318538</v>
      </c>
    </row>
    <row r="23" spans="2:11">
      <c r="B23" s="193">
        <f ca="1">IF(DarlehenIstGut,IF(ROW()-ROW(ZahlungsZeitplan[[#Headers],['#]])&gt;PlanmäßigeAnzahlZahlungen,"",ROW()-ROW(ZahlungsZeitplan[[#Headers],['#]])),"")</f>
        <v>10</v>
      </c>
      <c r="C23" s="194">
        <f ca="1">IF(ZahlungsZeitplan[[#This Row],['#]]&lt;&gt;"",EOMONTH(DarlehensAnfangsDatum,ROW(ZahlungsZeitplan[[#This Row],['#]])-ROW(ZahlungsZeitplan[[#Headers],['#]])-2)+DAY(DarlehensAnfangsDatum),"")</f>
        <v>45600</v>
      </c>
      <c r="D23" s="195">
        <f ca="1">IF(ZahlungsZeitplan[[#This Row],['#]]&lt;&gt;"",IF(ROW()-ROW(ZahlungsZeitplan[[#Headers],[ANFANGSSALDO]])=1,DarlehensBetrag,INDEX(ZahlungsZeitplan[ENDSALDO],ROW()-ROW(ZahlungsZeitplan[[#Headers],[ANFANGSSALDO]])-1)),"")</f>
        <v>129521.69042042231</v>
      </c>
      <c r="E23" s="195">
        <f ca="1">IF(ZahlungsZeitplan[[#This Row],['#]]&lt;&gt;"",PlanmäßigeZahlung,"")</f>
        <v>645.29573460105871</v>
      </c>
      <c r="F2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 s="195">
        <f ca="1">IF(ZahlungsZeitplan[[#This Row],['#]]&lt;&gt;"",ZahlungsZeitplan[[#This Row],[GESAMTZAHLUNG]]-ZahlungsZeitplan[[#This Row],[ZINSEN]],"")</f>
        <v>484.47296899570097</v>
      </c>
      <c r="I23" s="195">
        <f ca="1">IF(ZahlungsZeitplan[[#This Row],['#]]&lt;=($D$8*12),IF(ZahlungsZeitplan[[#This Row],['#]]&lt;&gt;"",ZahlungsZeitplan[[#This Row],[ANFANGSSALDO]]*(ZinsSatz/ZahlungenProJahr),""),IF(ZahlungsZeitplan[[#This Row],['#]]&lt;&gt;"",ZahlungsZeitplan[[#This Row],[ANFANGSSALDO]]*((ZinsSatz+$D$9)/ZahlungenProJahr),""))</f>
        <v>160.82276560535772</v>
      </c>
      <c r="J23" s="195">
        <f ca="1">IF(ZahlungsZeitplan[[#This Row],['#]]&lt;&gt;"",IF(ZahlungsZeitplan[[#This Row],[Zahlungen (Plan)]]+ZahlungsZeitplan[[#This Row],[SONDERZAHLUNG]]&lt;=ZahlungsZeitplan[[#This Row],[ANFANGSSALDO]],ZahlungsZeitplan[[#This Row],[ANFANGSSALDO]]-ZahlungsZeitplan[[#This Row],[KAPITAL]],0),"")</f>
        <v>129037.21745142661</v>
      </c>
      <c r="K23" s="195">
        <f ca="1">IF(ZahlungsZeitplan[[#This Row],['#]]&lt;&gt;"",SUM(INDEX(ZahlungsZeitplan[ZINSEN],1,1):ZahlungsZeitplan[[#This Row],[ZINSEN]]),"")</f>
        <v>1635.1747974372115</v>
      </c>
    </row>
    <row r="24" spans="2:11">
      <c r="B24" s="193">
        <f ca="1">IF(DarlehenIstGut,IF(ROW()-ROW(ZahlungsZeitplan[[#Headers],['#]])&gt;PlanmäßigeAnzahlZahlungen,"",ROW()-ROW(ZahlungsZeitplan[[#Headers],['#]])),"")</f>
        <v>11</v>
      </c>
      <c r="C24" s="194">
        <f ca="1">IF(ZahlungsZeitplan[[#This Row],['#]]&lt;&gt;"",EOMONTH(DarlehensAnfangsDatum,ROW(ZahlungsZeitplan[[#This Row],['#]])-ROW(ZahlungsZeitplan[[#Headers],['#]])-2)+DAY(DarlehensAnfangsDatum),"")</f>
        <v>45630</v>
      </c>
      <c r="D24" s="195">
        <f ca="1">IF(ZahlungsZeitplan[[#This Row],['#]]&lt;&gt;"",IF(ROW()-ROW(ZahlungsZeitplan[[#Headers],[ANFANGSSALDO]])=1,DarlehensBetrag,INDEX(ZahlungsZeitplan[ENDSALDO],ROW()-ROW(ZahlungsZeitplan[[#Headers],[ANFANGSSALDO]])-1)),"")</f>
        <v>129037.21745142661</v>
      </c>
      <c r="E24" s="195">
        <f ca="1">IF(ZahlungsZeitplan[[#This Row],['#]]&lt;&gt;"",PlanmäßigeZahlung,"")</f>
        <v>645.29573460105871</v>
      </c>
      <c r="F2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 s="195">
        <f ca="1">IF(ZahlungsZeitplan[[#This Row],['#]]&lt;&gt;"",ZahlungsZeitplan[[#This Row],[GESAMTZAHLUNG]]-ZahlungsZeitplan[[#This Row],[ZINSEN]],"")</f>
        <v>485.07452293220399</v>
      </c>
      <c r="I24" s="195">
        <f ca="1">IF(ZahlungsZeitplan[[#This Row],['#]]&lt;=($D$8*12),IF(ZahlungsZeitplan[[#This Row],['#]]&lt;&gt;"",ZahlungsZeitplan[[#This Row],[ANFANGSSALDO]]*(ZinsSatz/ZahlungenProJahr),""),IF(ZahlungsZeitplan[[#This Row],['#]]&lt;&gt;"",ZahlungsZeitplan[[#This Row],[ANFANGSSALDO]]*((ZinsSatz+$D$9)/ZahlungenProJahr),""))</f>
        <v>160.22121166885472</v>
      </c>
      <c r="J24" s="195">
        <f ca="1">IF(ZahlungsZeitplan[[#This Row],['#]]&lt;&gt;"",IF(ZahlungsZeitplan[[#This Row],[Zahlungen (Plan)]]+ZahlungsZeitplan[[#This Row],[SONDERZAHLUNG]]&lt;=ZahlungsZeitplan[[#This Row],[ANFANGSSALDO]],ZahlungsZeitplan[[#This Row],[ANFANGSSALDO]]-ZahlungsZeitplan[[#This Row],[KAPITAL]],0),"")</f>
        <v>128552.1429284944</v>
      </c>
      <c r="K24" s="195">
        <f ca="1">IF(ZahlungsZeitplan[[#This Row],['#]]&lt;&gt;"",SUM(INDEX(ZahlungsZeitplan[ZINSEN],1,1):ZahlungsZeitplan[[#This Row],[ZINSEN]]),"")</f>
        <v>1795.3960091060662</v>
      </c>
    </row>
    <row r="25" spans="2:11">
      <c r="B25" s="193">
        <f ca="1">IF(DarlehenIstGut,IF(ROW()-ROW(ZahlungsZeitplan[[#Headers],['#]])&gt;PlanmäßigeAnzahlZahlungen,"",ROW()-ROW(ZahlungsZeitplan[[#Headers],['#]])),"")</f>
        <v>12</v>
      </c>
      <c r="C25" s="194">
        <f ca="1">IF(ZahlungsZeitplan[[#This Row],['#]]&lt;&gt;"",EOMONTH(DarlehensAnfangsDatum,ROW(ZahlungsZeitplan[[#This Row],['#]])-ROW(ZahlungsZeitplan[[#Headers],['#]])-2)+DAY(DarlehensAnfangsDatum),"")</f>
        <v>45661</v>
      </c>
      <c r="D25" s="195">
        <f ca="1">IF(ZahlungsZeitplan[[#This Row],['#]]&lt;&gt;"",IF(ROW()-ROW(ZahlungsZeitplan[[#Headers],[ANFANGSSALDO]])=1,DarlehensBetrag,INDEX(ZahlungsZeitplan[ENDSALDO],ROW()-ROW(ZahlungsZeitplan[[#Headers],[ANFANGSSALDO]])-1)),"")</f>
        <v>128552.1429284944</v>
      </c>
      <c r="E25" s="195">
        <f ca="1">IF(ZahlungsZeitplan[[#This Row],['#]]&lt;&gt;"",PlanmäßigeZahlung,"")</f>
        <v>645.29573460105871</v>
      </c>
      <c r="F2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5" s="195">
        <f ca="1">IF(ZahlungsZeitplan[[#This Row],['#]]&lt;&gt;"",ZahlungsZeitplan[[#This Row],[GESAMTZAHLUNG]]-ZahlungsZeitplan[[#This Row],[ZINSEN]],"")</f>
        <v>485.67682379817813</v>
      </c>
      <c r="I25" s="195">
        <f ca="1">IF(ZahlungsZeitplan[[#This Row],['#]]&lt;=($D$8*12),IF(ZahlungsZeitplan[[#This Row],['#]]&lt;&gt;"",ZahlungsZeitplan[[#This Row],[ANFANGSSALDO]]*(ZinsSatz/ZahlungenProJahr),""),IF(ZahlungsZeitplan[[#This Row],['#]]&lt;&gt;"",ZahlungsZeitplan[[#This Row],[ANFANGSSALDO]]*((ZinsSatz+$D$9)/ZahlungenProJahr),""))</f>
        <v>159.61891080288055</v>
      </c>
      <c r="J25" s="195">
        <f ca="1">IF(ZahlungsZeitplan[[#This Row],['#]]&lt;&gt;"",IF(ZahlungsZeitplan[[#This Row],[Zahlungen (Plan)]]+ZahlungsZeitplan[[#This Row],[SONDERZAHLUNG]]&lt;=ZahlungsZeitplan[[#This Row],[ANFANGSSALDO]],ZahlungsZeitplan[[#This Row],[ANFANGSSALDO]]-ZahlungsZeitplan[[#This Row],[KAPITAL]],0),"")</f>
        <v>128066.46610469623</v>
      </c>
      <c r="K25" s="195">
        <f ca="1">IF(ZahlungsZeitplan[[#This Row],['#]]&lt;&gt;"",SUM(INDEX(ZahlungsZeitplan[ZINSEN],1,1):ZahlungsZeitplan[[#This Row],[ZINSEN]]),"")</f>
        <v>1955.0149199089467</v>
      </c>
    </row>
    <row r="26" spans="2:11">
      <c r="B26" s="193">
        <f ca="1">IF(DarlehenIstGut,IF(ROW()-ROW(ZahlungsZeitplan[[#Headers],['#]])&gt;PlanmäßigeAnzahlZahlungen,"",ROW()-ROW(ZahlungsZeitplan[[#Headers],['#]])),"")</f>
        <v>13</v>
      </c>
      <c r="C26" s="194">
        <f ca="1">IF(ZahlungsZeitplan[[#This Row],['#]]&lt;&gt;"",EOMONTH(DarlehensAnfangsDatum,ROW(ZahlungsZeitplan[[#This Row],['#]])-ROW(ZahlungsZeitplan[[#Headers],['#]])-2)+DAY(DarlehensAnfangsDatum),"")</f>
        <v>45692</v>
      </c>
      <c r="D26" s="195">
        <f ca="1">IF(ZahlungsZeitplan[[#This Row],['#]]&lt;&gt;"",IF(ROW()-ROW(ZahlungsZeitplan[[#Headers],[ANFANGSSALDO]])=1,DarlehensBetrag,INDEX(ZahlungsZeitplan[ENDSALDO],ROW()-ROW(ZahlungsZeitplan[[#Headers],[ANFANGSSALDO]])-1)),"")</f>
        <v>128066.46610469623</v>
      </c>
      <c r="E26" s="195">
        <f ca="1">IF(ZahlungsZeitplan[[#This Row],['#]]&lt;&gt;"",PlanmäßigeZahlung,"")</f>
        <v>645.29573460105871</v>
      </c>
      <c r="F2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6" s="195">
        <f ca="1">IF(ZahlungsZeitplan[[#This Row],['#]]&lt;&gt;"",ZahlungsZeitplan[[#This Row],[GESAMTZAHLUNG]]-ZahlungsZeitplan[[#This Row],[ZINSEN]],"")</f>
        <v>486.27987252106089</v>
      </c>
      <c r="I26" s="195">
        <f ca="1">IF(ZahlungsZeitplan[[#This Row],['#]]&lt;=($D$8*12),IF(ZahlungsZeitplan[[#This Row],['#]]&lt;&gt;"",ZahlungsZeitplan[[#This Row],[ANFANGSSALDO]]*(ZinsSatz/ZahlungenProJahr),""),IF(ZahlungsZeitplan[[#This Row],['#]]&lt;&gt;"",ZahlungsZeitplan[[#This Row],[ANFANGSSALDO]]*((ZinsSatz+$D$9)/ZahlungenProJahr),""))</f>
        <v>159.01586207999782</v>
      </c>
      <c r="J26" s="195">
        <f ca="1">IF(ZahlungsZeitplan[[#This Row],['#]]&lt;&gt;"",IF(ZahlungsZeitplan[[#This Row],[Zahlungen (Plan)]]+ZahlungsZeitplan[[#This Row],[SONDERZAHLUNG]]&lt;=ZahlungsZeitplan[[#This Row],[ANFANGSSALDO]],ZahlungsZeitplan[[#This Row],[ANFANGSSALDO]]-ZahlungsZeitplan[[#This Row],[KAPITAL]],0),"")</f>
        <v>127580.18623217517</v>
      </c>
      <c r="K26" s="195">
        <f ca="1">IF(ZahlungsZeitplan[[#This Row],['#]]&lt;&gt;"",SUM(INDEX(ZahlungsZeitplan[ZINSEN],1,1):ZahlungsZeitplan[[#This Row],[ZINSEN]]),"")</f>
        <v>2114.0307819889445</v>
      </c>
    </row>
    <row r="27" spans="2:11">
      <c r="B27" s="193">
        <f ca="1">IF(DarlehenIstGut,IF(ROW()-ROW(ZahlungsZeitplan[[#Headers],['#]])&gt;PlanmäßigeAnzahlZahlungen,"",ROW()-ROW(ZahlungsZeitplan[[#Headers],['#]])),"")</f>
        <v>14</v>
      </c>
      <c r="C27" s="194">
        <f ca="1">IF(ZahlungsZeitplan[[#This Row],['#]]&lt;&gt;"",EOMONTH(DarlehensAnfangsDatum,ROW(ZahlungsZeitplan[[#This Row],['#]])-ROW(ZahlungsZeitplan[[#Headers],['#]])-2)+DAY(DarlehensAnfangsDatum),"")</f>
        <v>45720</v>
      </c>
      <c r="D27" s="195">
        <f ca="1">IF(ZahlungsZeitplan[[#This Row],['#]]&lt;&gt;"",IF(ROW()-ROW(ZahlungsZeitplan[[#Headers],[ANFANGSSALDO]])=1,DarlehensBetrag,INDEX(ZahlungsZeitplan[ENDSALDO],ROW()-ROW(ZahlungsZeitplan[[#Headers],[ANFANGSSALDO]])-1)),"")</f>
        <v>127580.18623217517</v>
      </c>
      <c r="E27" s="195">
        <f ca="1">IF(ZahlungsZeitplan[[#This Row],['#]]&lt;&gt;"",PlanmäßigeZahlung,"")</f>
        <v>645.29573460105871</v>
      </c>
      <c r="F2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7" s="195">
        <f ca="1">IF(ZahlungsZeitplan[[#This Row],['#]]&lt;&gt;"",ZahlungsZeitplan[[#This Row],[GESAMTZAHLUNG]]-ZahlungsZeitplan[[#This Row],[ZINSEN]],"")</f>
        <v>486.88367002944119</v>
      </c>
      <c r="I27" s="195">
        <f ca="1">IF(ZahlungsZeitplan[[#This Row],['#]]&lt;=($D$8*12),IF(ZahlungsZeitplan[[#This Row],['#]]&lt;&gt;"",ZahlungsZeitplan[[#This Row],[ANFANGSSALDO]]*(ZinsSatz/ZahlungenProJahr),""),IF(ZahlungsZeitplan[[#This Row],['#]]&lt;&gt;"",ZahlungsZeitplan[[#This Row],[ANFANGSSALDO]]*((ZinsSatz+$D$9)/ZahlungenProJahr),""))</f>
        <v>158.41206457161752</v>
      </c>
      <c r="J27" s="195">
        <f ca="1">IF(ZahlungsZeitplan[[#This Row],['#]]&lt;&gt;"",IF(ZahlungsZeitplan[[#This Row],[Zahlungen (Plan)]]+ZahlungsZeitplan[[#This Row],[SONDERZAHLUNG]]&lt;=ZahlungsZeitplan[[#This Row],[ANFANGSSALDO]],ZahlungsZeitplan[[#This Row],[ANFANGSSALDO]]-ZahlungsZeitplan[[#This Row],[KAPITAL]],0),"")</f>
        <v>127093.30256214573</v>
      </c>
      <c r="K27" s="195">
        <f ca="1">IF(ZahlungsZeitplan[[#This Row],['#]]&lt;&gt;"",SUM(INDEX(ZahlungsZeitplan[ZINSEN],1,1):ZahlungsZeitplan[[#This Row],[ZINSEN]]),"")</f>
        <v>2272.442846560562</v>
      </c>
    </row>
    <row r="28" spans="2:11">
      <c r="B28" s="193">
        <f ca="1">IF(DarlehenIstGut,IF(ROW()-ROW(ZahlungsZeitplan[[#Headers],['#]])&gt;PlanmäßigeAnzahlZahlungen,"",ROW()-ROW(ZahlungsZeitplan[[#Headers],['#]])),"")</f>
        <v>15</v>
      </c>
      <c r="C28" s="194">
        <f ca="1">IF(ZahlungsZeitplan[[#This Row],['#]]&lt;&gt;"",EOMONTH(DarlehensAnfangsDatum,ROW(ZahlungsZeitplan[[#This Row],['#]])-ROW(ZahlungsZeitplan[[#Headers],['#]])-2)+DAY(DarlehensAnfangsDatum),"")</f>
        <v>45751</v>
      </c>
      <c r="D28" s="195">
        <f ca="1">IF(ZahlungsZeitplan[[#This Row],['#]]&lt;&gt;"",IF(ROW()-ROW(ZahlungsZeitplan[[#Headers],[ANFANGSSALDO]])=1,DarlehensBetrag,INDEX(ZahlungsZeitplan[ENDSALDO],ROW()-ROW(ZahlungsZeitplan[[#Headers],[ANFANGSSALDO]])-1)),"")</f>
        <v>127093.30256214573</v>
      </c>
      <c r="E28" s="195">
        <f ca="1">IF(ZahlungsZeitplan[[#This Row],['#]]&lt;&gt;"",PlanmäßigeZahlung,"")</f>
        <v>645.29573460105871</v>
      </c>
      <c r="F2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8" s="195">
        <f ca="1">IF(ZahlungsZeitplan[[#This Row],['#]]&lt;&gt;"",ZahlungsZeitplan[[#This Row],[GESAMTZAHLUNG]]-ZahlungsZeitplan[[#This Row],[ZINSEN]],"")</f>
        <v>487.48821725306107</v>
      </c>
      <c r="I28" s="195">
        <f ca="1">IF(ZahlungsZeitplan[[#This Row],['#]]&lt;=($D$8*12),IF(ZahlungsZeitplan[[#This Row],['#]]&lt;&gt;"",ZahlungsZeitplan[[#This Row],[ANFANGSSALDO]]*(ZinsSatz/ZahlungenProJahr),""),IF(ZahlungsZeitplan[[#This Row],['#]]&lt;&gt;"",ZahlungsZeitplan[[#This Row],[ANFANGSSALDO]]*((ZinsSatz+$D$9)/ZahlungenProJahr),""))</f>
        <v>157.80751734799762</v>
      </c>
      <c r="J28" s="195">
        <f ca="1">IF(ZahlungsZeitplan[[#This Row],['#]]&lt;&gt;"",IF(ZahlungsZeitplan[[#This Row],[Zahlungen (Plan)]]+ZahlungsZeitplan[[#This Row],[SONDERZAHLUNG]]&lt;=ZahlungsZeitplan[[#This Row],[ANFANGSSALDO]],ZahlungsZeitplan[[#This Row],[ANFANGSSALDO]]-ZahlungsZeitplan[[#This Row],[KAPITAL]],0),"")</f>
        <v>126605.81434489267</v>
      </c>
      <c r="K28" s="195">
        <f ca="1">IF(ZahlungsZeitplan[[#This Row],['#]]&lt;&gt;"",SUM(INDEX(ZahlungsZeitplan[ZINSEN],1,1):ZahlungsZeitplan[[#This Row],[ZINSEN]]),"")</f>
        <v>2430.2503639085594</v>
      </c>
    </row>
    <row r="29" spans="2:11">
      <c r="B29" s="193">
        <f ca="1">IF(DarlehenIstGut,IF(ROW()-ROW(ZahlungsZeitplan[[#Headers],['#]])&gt;PlanmäßigeAnzahlZahlungen,"",ROW()-ROW(ZahlungsZeitplan[[#Headers],['#]])),"")</f>
        <v>16</v>
      </c>
      <c r="C29" s="194">
        <f ca="1">IF(ZahlungsZeitplan[[#This Row],['#]]&lt;&gt;"",EOMONTH(DarlehensAnfangsDatum,ROW(ZahlungsZeitplan[[#This Row],['#]])-ROW(ZahlungsZeitplan[[#Headers],['#]])-2)+DAY(DarlehensAnfangsDatum),"")</f>
        <v>45781</v>
      </c>
      <c r="D29" s="195">
        <f ca="1">IF(ZahlungsZeitplan[[#This Row],['#]]&lt;&gt;"",IF(ROW()-ROW(ZahlungsZeitplan[[#Headers],[ANFANGSSALDO]])=1,DarlehensBetrag,INDEX(ZahlungsZeitplan[ENDSALDO],ROW()-ROW(ZahlungsZeitplan[[#Headers],[ANFANGSSALDO]])-1)),"")</f>
        <v>126605.81434489267</v>
      </c>
      <c r="E29" s="195">
        <f ca="1">IF(ZahlungsZeitplan[[#This Row],['#]]&lt;&gt;"",PlanmäßigeZahlung,"")</f>
        <v>645.29573460105871</v>
      </c>
      <c r="F2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9" s="195">
        <f ca="1">IF(ZahlungsZeitplan[[#This Row],['#]]&lt;&gt;"",ZahlungsZeitplan[[#This Row],[GESAMTZAHLUNG]]-ZahlungsZeitplan[[#This Row],[ZINSEN]],"")</f>
        <v>488.09351512281694</v>
      </c>
      <c r="I29" s="195">
        <f ca="1">IF(ZahlungsZeitplan[[#This Row],['#]]&lt;=($D$8*12),IF(ZahlungsZeitplan[[#This Row],['#]]&lt;&gt;"",ZahlungsZeitplan[[#This Row],[ANFANGSSALDO]]*(ZinsSatz/ZahlungenProJahr),""),IF(ZahlungsZeitplan[[#This Row],['#]]&lt;&gt;"",ZahlungsZeitplan[[#This Row],[ANFANGSSALDO]]*((ZinsSatz+$D$9)/ZahlungenProJahr),""))</f>
        <v>157.20221947824174</v>
      </c>
      <c r="J29" s="195">
        <f ca="1">IF(ZahlungsZeitplan[[#This Row],['#]]&lt;&gt;"",IF(ZahlungsZeitplan[[#This Row],[Zahlungen (Plan)]]+ZahlungsZeitplan[[#This Row],[SONDERZAHLUNG]]&lt;=ZahlungsZeitplan[[#This Row],[ANFANGSSALDO]],ZahlungsZeitplan[[#This Row],[ANFANGSSALDO]]-ZahlungsZeitplan[[#This Row],[KAPITAL]],0),"")</f>
        <v>126117.72082976985</v>
      </c>
      <c r="K29" s="195">
        <f ca="1">IF(ZahlungsZeitplan[[#This Row],['#]]&lt;&gt;"",SUM(INDEX(ZahlungsZeitplan[ZINSEN],1,1):ZahlungsZeitplan[[#This Row],[ZINSEN]]),"")</f>
        <v>2587.4525833868011</v>
      </c>
    </row>
    <row r="30" spans="2:11">
      <c r="B30" s="193">
        <f ca="1">IF(DarlehenIstGut,IF(ROW()-ROW(ZahlungsZeitplan[[#Headers],['#]])&gt;PlanmäßigeAnzahlZahlungen,"",ROW()-ROW(ZahlungsZeitplan[[#Headers],['#]])),"")</f>
        <v>17</v>
      </c>
      <c r="C30" s="194">
        <f ca="1">IF(ZahlungsZeitplan[[#This Row],['#]]&lt;&gt;"",EOMONTH(DarlehensAnfangsDatum,ROW(ZahlungsZeitplan[[#This Row],['#]])-ROW(ZahlungsZeitplan[[#Headers],['#]])-2)+DAY(DarlehensAnfangsDatum),"")</f>
        <v>45812</v>
      </c>
      <c r="D30" s="195">
        <f ca="1">IF(ZahlungsZeitplan[[#This Row],['#]]&lt;&gt;"",IF(ROW()-ROW(ZahlungsZeitplan[[#Headers],[ANFANGSSALDO]])=1,DarlehensBetrag,INDEX(ZahlungsZeitplan[ENDSALDO],ROW()-ROW(ZahlungsZeitplan[[#Headers],[ANFANGSSALDO]])-1)),"")</f>
        <v>126117.72082976985</v>
      </c>
      <c r="E30" s="195">
        <f ca="1">IF(ZahlungsZeitplan[[#This Row],['#]]&lt;&gt;"",PlanmäßigeZahlung,"")</f>
        <v>645.29573460105871</v>
      </c>
      <c r="F3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0" s="195">
        <f ca="1">IF(ZahlungsZeitplan[[#This Row],['#]]&lt;&gt;"",ZahlungsZeitplan[[#This Row],[GESAMTZAHLUNG]]-ZahlungsZeitplan[[#This Row],[ZINSEN]],"")</f>
        <v>488.69956457076114</v>
      </c>
      <c r="I30" s="195">
        <f ca="1">IF(ZahlungsZeitplan[[#This Row],['#]]&lt;=($D$8*12),IF(ZahlungsZeitplan[[#This Row],['#]]&lt;&gt;"",ZahlungsZeitplan[[#This Row],[ANFANGSSALDO]]*(ZinsSatz/ZahlungenProJahr),""),IF(ZahlungsZeitplan[[#This Row],['#]]&lt;&gt;"",ZahlungsZeitplan[[#This Row],[ANFANGSSALDO]]*((ZinsSatz+$D$9)/ZahlungenProJahr),""))</f>
        <v>156.59617003029757</v>
      </c>
      <c r="J30" s="195">
        <f ca="1">IF(ZahlungsZeitplan[[#This Row],['#]]&lt;&gt;"",IF(ZahlungsZeitplan[[#This Row],[Zahlungen (Plan)]]+ZahlungsZeitplan[[#This Row],[SONDERZAHLUNG]]&lt;=ZahlungsZeitplan[[#This Row],[ANFANGSSALDO]],ZahlungsZeitplan[[#This Row],[ANFANGSSALDO]]-ZahlungsZeitplan[[#This Row],[KAPITAL]],0),"")</f>
        <v>125629.02126519909</v>
      </c>
      <c r="K30" s="195">
        <f ca="1">IF(ZahlungsZeitplan[[#This Row],['#]]&lt;&gt;"",SUM(INDEX(ZahlungsZeitplan[ZINSEN],1,1):ZahlungsZeitplan[[#This Row],[ZINSEN]]),"")</f>
        <v>2744.0487534170989</v>
      </c>
    </row>
    <row r="31" spans="2:11">
      <c r="B31" s="193">
        <f ca="1">IF(DarlehenIstGut,IF(ROW()-ROW(ZahlungsZeitplan[[#Headers],['#]])&gt;PlanmäßigeAnzahlZahlungen,"",ROW()-ROW(ZahlungsZeitplan[[#Headers],['#]])),"")</f>
        <v>18</v>
      </c>
      <c r="C31" s="194">
        <f ca="1">IF(ZahlungsZeitplan[[#This Row],['#]]&lt;&gt;"",EOMONTH(DarlehensAnfangsDatum,ROW(ZahlungsZeitplan[[#This Row],['#]])-ROW(ZahlungsZeitplan[[#Headers],['#]])-2)+DAY(DarlehensAnfangsDatum),"")</f>
        <v>45842</v>
      </c>
      <c r="D31" s="195">
        <f ca="1">IF(ZahlungsZeitplan[[#This Row],['#]]&lt;&gt;"",IF(ROW()-ROW(ZahlungsZeitplan[[#Headers],[ANFANGSSALDO]])=1,DarlehensBetrag,INDEX(ZahlungsZeitplan[ENDSALDO],ROW()-ROW(ZahlungsZeitplan[[#Headers],[ANFANGSSALDO]])-1)),"")</f>
        <v>125629.02126519909</v>
      </c>
      <c r="E31" s="195">
        <f ca="1">IF(ZahlungsZeitplan[[#This Row],['#]]&lt;&gt;"",PlanmäßigeZahlung,"")</f>
        <v>645.29573460105871</v>
      </c>
      <c r="F3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1" s="195">
        <f ca="1">IF(ZahlungsZeitplan[[#This Row],['#]]&lt;&gt;"",ZahlungsZeitplan[[#This Row],[GESAMTZAHLUNG]]-ZahlungsZeitplan[[#This Row],[ZINSEN]],"")</f>
        <v>489.30636653010316</v>
      </c>
      <c r="I31" s="195">
        <f ca="1">IF(ZahlungsZeitplan[[#This Row],['#]]&lt;=($D$8*12),IF(ZahlungsZeitplan[[#This Row],['#]]&lt;&gt;"",ZahlungsZeitplan[[#This Row],[ANFANGSSALDO]]*(ZinsSatz/ZahlungenProJahr),""),IF(ZahlungsZeitplan[[#This Row],['#]]&lt;&gt;"",ZahlungsZeitplan[[#This Row],[ANFANGSSALDO]]*((ZinsSatz+$D$9)/ZahlungenProJahr),""))</f>
        <v>155.98936807095555</v>
      </c>
      <c r="J31" s="195">
        <f ca="1">IF(ZahlungsZeitplan[[#This Row],['#]]&lt;&gt;"",IF(ZahlungsZeitplan[[#This Row],[Zahlungen (Plan)]]+ZahlungsZeitplan[[#This Row],[SONDERZAHLUNG]]&lt;=ZahlungsZeitplan[[#This Row],[ANFANGSSALDO]],ZahlungsZeitplan[[#This Row],[ANFANGSSALDO]]-ZahlungsZeitplan[[#This Row],[KAPITAL]],0),"")</f>
        <v>125139.71489866899</v>
      </c>
      <c r="K31" s="195">
        <f ca="1">IF(ZahlungsZeitplan[[#This Row],['#]]&lt;&gt;"",SUM(INDEX(ZahlungsZeitplan[ZINSEN],1,1):ZahlungsZeitplan[[#This Row],[ZINSEN]]),"")</f>
        <v>2900.0381214880545</v>
      </c>
    </row>
    <row r="32" spans="2:11">
      <c r="B32" s="193">
        <f ca="1">IF(DarlehenIstGut,IF(ROW()-ROW(ZahlungsZeitplan[[#Headers],['#]])&gt;PlanmäßigeAnzahlZahlungen,"",ROW()-ROW(ZahlungsZeitplan[[#Headers],['#]])),"")</f>
        <v>19</v>
      </c>
      <c r="C32" s="194">
        <f ca="1">IF(ZahlungsZeitplan[[#This Row],['#]]&lt;&gt;"",EOMONTH(DarlehensAnfangsDatum,ROW(ZahlungsZeitplan[[#This Row],['#]])-ROW(ZahlungsZeitplan[[#Headers],['#]])-2)+DAY(DarlehensAnfangsDatum),"")</f>
        <v>45873</v>
      </c>
      <c r="D32" s="195">
        <f ca="1">IF(ZahlungsZeitplan[[#This Row],['#]]&lt;&gt;"",IF(ROW()-ROW(ZahlungsZeitplan[[#Headers],[ANFANGSSALDO]])=1,DarlehensBetrag,INDEX(ZahlungsZeitplan[ENDSALDO],ROW()-ROW(ZahlungsZeitplan[[#Headers],[ANFANGSSALDO]])-1)),"")</f>
        <v>125139.71489866899</v>
      </c>
      <c r="E32" s="195">
        <f ca="1">IF(ZahlungsZeitplan[[#This Row],['#]]&lt;&gt;"",PlanmäßigeZahlung,"")</f>
        <v>645.29573460105871</v>
      </c>
      <c r="F3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2" s="195">
        <f ca="1">IF(ZahlungsZeitplan[[#This Row],['#]]&lt;&gt;"",ZahlungsZeitplan[[#This Row],[GESAMTZAHLUNG]]-ZahlungsZeitplan[[#This Row],[ZINSEN]],"")</f>
        <v>489.91392193521142</v>
      </c>
      <c r="I32" s="195">
        <f ca="1">IF(ZahlungsZeitplan[[#This Row],['#]]&lt;=($D$8*12),IF(ZahlungsZeitplan[[#This Row],['#]]&lt;&gt;"",ZahlungsZeitplan[[#This Row],[ANFANGSSALDO]]*(ZinsSatz/ZahlungenProJahr),""),IF(ZahlungsZeitplan[[#This Row],['#]]&lt;&gt;"",ZahlungsZeitplan[[#This Row],[ANFANGSSALDO]]*((ZinsSatz+$D$9)/ZahlungenProJahr),""))</f>
        <v>155.38181266584732</v>
      </c>
      <c r="J32" s="195">
        <f ca="1">IF(ZahlungsZeitplan[[#This Row],['#]]&lt;&gt;"",IF(ZahlungsZeitplan[[#This Row],[Zahlungen (Plan)]]+ZahlungsZeitplan[[#This Row],[SONDERZAHLUNG]]&lt;=ZahlungsZeitplan[[#This Row],[ANFANGSSALDO]],ZahlungsZeitplan[[#This Row],[ANFANGSSALDO]]-ZahlungsZeitplan[[#This Row],[KAPITAL]],0),"")</f>
        <v>124649.80097673378</v>
      </c>
      <c r="K32" s="195">
        <f ca="1">IF(ZahlungsZeitplan[[#This Row],['#]]&lt;&gt;"",SUM(INDEX(ZahlungsZeitplan[ZINSEN],1,1):ZahlungsZeitplan[[#This Row],[ZINSEN]]),"")</f>
        <v>3055.419934153902</v>
      </c>
    </row>
    <row r="33" spans="2:11">
      <c r="B33" s="193">
        <f ca="1">IF(DarlehenIstGut,IF(ROW()-ROW(ZahlungsZeitplan[[#Headers],['#]])&gt;PlanmäßigeAnzahlZahlungen,"",ROW()-ROW(ZahlungsZeitplan[[#Headers],['#]])),"")</f>
        <v>20</v>
      </c>
      <c r="C33" s="194">
        <f ca="1">IF(ZahlungsZeitplan[[#This Row],['#]]&lt;&gt;"",EOMONTH(DarlehensAnfangsDatum,ROW(ZahlungsZeitplan[[#This Row],['#]])-ROW(ZahlungsZeitplan[[#Headers],['#]])-2)+DAY(DarlehensAnfangsDatum),"")</f>
        <v>45904</v>
      </c>
      <c r="D33" s="195">
        <f ca="1">IF(ZahlungsZeitplan[[#This Row],['#]]&lt;&gt;"",IF(ROW()-ROW(ZahlungsZeitplan[[#Headers],[ANFANGSSALDO]])=1,DarlehensBetrag,INDEX(ZahlungsZeitplan[ENDSALDO],ROW()-ROW(ZahlungsZeitplan[[#Headers],[ANFANGSSALDO]])-1)),"")</f>
        <v>124649.80097673378</v>
      </c>
      <c r="E33" s="195">
        <f ca="1">IF(ZahlungsZeitplan[[#This Row],['#]]&lt;&gt;"",PlanmäßigeZahlung,"")</f>
        <v>645.29573460105871</v>
      </c>
      <c r="F3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3" s="195">
        <f ca="1">IF(ZahlungsZeitplan[[#This Row],['#]]&lt;&gt;"",ZahlungsZeitplan[[#This Row],[GESAMTZAHLUNG]]-ZahlungsZeitplan[[#This Row],[ZINSEN]],"")</f>
        <v>490.52223172161428</v>
      </c>
      <c r="I33" s="195">
        <f ca="1">IF(ZahlungsZeitplan[[#This Row],['#]]&lt;=($D$8*12),IF(ZahlungsZeitplan[[#This Row],['#]]&lt;&gt;"",ZahlungsZeitplan[[#This Row],[ANFANGSSALDO]]*(ZinsSatz/ZahlungenProJahr),""),IF(ZahlungsZeitplan[[#This Row],['#]]&lt;&gt;"",ZahlungsZeitplan[[#This Row],[ANFANGSSALDO]]*((ZinsSatz+$D$9)/ZahlungenProJahr),""))</f>
        <v>154.77350287944446</v>
      </c>
      <c r="J33" s="195">
        <f ca="1">IF(ZahlungsZeitplan[[#This Row],['#]]&lt;&gt;"",IF(ZahlungsZeitplan[[#This Row],[Zahlungen (Plan)]]+ZahlungsZeitplan[[#This Row],[SONDERZAHLUNG]]&lt;=ZahlungsZeitplan[[#This Row],[ANFANGSSALDO]],ZahlungsZeitplan[[#This Row],[ANFANGSSALDO]]-ZahlungsZeitplan[[#This Row],[KAPITAL]],0),"")</f>
        <v>124159.27874501217</v>
      </c>
      <c r="K33" s="195">
        <f ca="1">IF(ZahlungsZeitplan[[#This Row],['#]]&lt;&gt;"",SUM(INDEX(ZahlungsZeitplan[ZINSEN],1,1):ZahlungsZeitplan[[#This Row],[ZINSEN]]),"")</f>
        <v>3210.1934370333465</v>
      </c>
    </row>
    <row r="34" spans="2:11">
      <c r="B34" s="193">
        <f ca="1">IF(DarlehenIstGut,IF(ROW()-ROW(ZahlungsZeitplan[[#Headers],['#]])&gt;PlanmäßigeAnzahlZahlungen,"",ROW()-ROW(ZahlungsZeitplan[[#Headers],['#]])),"")</f>
        <v>21</v>
      </c>
      <c r="C34" s="194">
        <f ca="1">IF(ZahlungsZeitplan[[#This Row],['#]]&lt;&gt;"",EOMONTH(DarlehensAnfangsDatum,ROW(ZahlungsZeitplan[[#This Row],['#]])-ROW(ZahlungsZeitplan[[#Headers],['#]])-2)+DAY(DarlehensAnfangsDatum),"")</f>
        <v>45934</v>
      </c>
      <c r="D34" s="195">
        <f ca="1">IF(ZahlungsZeitplan[[#This Row],['#]]&lt;&gt;"",IF(ROW()-ROW(ZahlungsZeitplan[[#Headers],[ANFANGSSALDO]])=1,DarlehensBetrag,INDEX(ZahlungsZeitplan[ENDSALDO],ROW()-ROW(ZahlungsZeitplan[[#Headers],[ANFANGSSALDO]])-1)),"")</f>
        <v>124159.27874501217</v>
      </c>
      <c r="E34" s="195">
        <f ca="1">IF(ZahlungsZeitplan[[#This Row],['#]]&lt;&gt;"",PlanmäßigeZahlung,"")</f>
        <v>645.29573460105871</v>
      </c>
      <c r="F3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4" s="195">
        <f ca="1">IF(ZahlungsZeitplan[[#This Row],['#]]&lt;&gt;"",ZahlungsZeitplan[[#This Row],[GESAMTZAHLUNG]]-ZahlungsZeitplan[[#This Row],[ZINSEN]],"")</f>
        <v>491.13129682600191</v>
      </c>
      <c r="I34" s="195">
        <f ca="1">IF(ZahlungsZeitplan[[#This Row],['#]]&lt;=($D$8*12),IF(ZahlungsZeitplan[[#This Row],['#]]&lt;&gt;"",ZahlungsZeitplan[[#This Row],[ANFANGSSALDO]]*(ZinsSatz/ZahlungenProJahr),""),IF(ZahlungsZeitplan[[#This Row],['#]]&lt;&gt;"",ZahlungsZeitplan[[#This Row],[ANFANGSSALDO]]*((ZinsSatz+$D$9)/ZahlungenProJahr),""))</f>
        <v>154.1644377750568</v>
      </c>
      <c r="J34" s="195">
        <f ca="1">IF(ZahlungsZeitplan[[#This Row],['#]]&lt;&gt;"",IF(ZahlungsZeitplan[[#This Row],[Zahlungen (Plan)]]+ZahlungsZeitplan[[#This Row],[SONDERZAHLUNG]]&lt;=ZahlungsZeitplan[[#This Row],[ANFANGSSALDO]],ZahlungsZeitplan[[#This Row],[ANFANGSSALDO]]-ZahlungsZeitplan[[#This Row],[KAPITAL]],0),"")</f>
        <v>123668.14744818617</v>
      </c>
      <c r="K34" s="195">
        <f ca="1">IF(ZahlungsZeitplan[[#This Row],['#]]&lt;&gt;"",SUM(INDEX(ZahlungsZeitplan[ZINSEN],1,1):ZahlungsZeitplan[[#This Row],[ZINSEN]]),"")</f>
        <v>3364.3578748084033</v>
      </c>
    </row>
    <row r="35" spans="2:11">
      <c r="B35" s="193">
        <f ca="1">IF(DarlehenIstGut,IF(ROW()-ROW(ZahlungsZeitplan[[#Headers],['#]])&gt;PlanmäßigeAnzahlZahlungen,"",ROW()-ROW(ZahlungsZeitplan[[#Headers],['#]])),"")</f>
        <v>22</v>
      </c>
      <c r="C35" s="194">
        <f ca="1">IF(ZahlungsZeitplan[[#This Row],['#]]&lt;&gt;"",EOMONTH(DarlehensAnfangsDatum,ROW(ZahlungsZeitplan[[#This Row],['#]])-ROW(ZahlungsZeitplan[[#Headers],['#]])-2)+DAY(DarlehensAnfangsDatum),"")</f>
        <v>45965</v>
      </c>
      <c r="D35" s="195">
        <f ca="1">IF(ZahlungsZeitplan[[#This Row],['#]]&lt;&gt;"",IF(ROW()-ROW(ZahlungsZeitplan[[#Headers],[ANFANGSSALDO]])=1,DarlehensBetrag,INDEX(ZahlungsZeitplan[ENDSALDO],ROW()-ROW(ZahlungsZeitplan[[#Headers],[ANFANGSSALDO]])-1)),"")</f>
        <v>123668.14744818617</v>
      </c>
      <c r="E35" s="195">
        <f ca="1">IF(ZahlungsZeitplan[[#This Row],['#]]&lt;&gt;"",PlanmäßigeZahlung,"")</f>
        <v>645.29573460105871</v>
      </c>
      <c r="F3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5" s="195">
        <f ca="1">IF(ZahlungsZeitplan[[#This Row],['#]]&lt;&gt;"",ZahlungsZeitplan[[#This Row],[GESAMTZAHLUNG]]-ZahlungsZeitplan[[#This Row],[ZINSEN]],"")</f>
        <v>491.74111818622754</v>
      </c>
      <c r="I35" s="195">
        <f ca="1">IF(ZahlungsZeitplan[[#This Row],['#]]&lt;=($D$8*12),IF(ZahlungsZeitplan[[#This Row],['#]]&lt;&gt;"",ZahlungsZeitplan[[#This Row],[ANFANGSSALDO]]*(ZinsSatz/ZahlungenProJahr),""),IF(ZahlungsZeitplan[[#This Row],['#]]&lt;&gt;"",ZahlungsZeitplan[[#This Row],[ANFANGSSALDO]]*((ZinsSatz+$D$9)/ZahlungenProJahr),""))</f>
        <v>153.55461641483117</v>
      </c>
      <c r="J35" s="195">
        <f ca="1">IF(ZahlungsZeitplan[[#This Row],['#]]&lt;&gt;"",IF(ZahlungsZeitplan[[#This Row],[Zahlungen (Plan)]]+ZahlungsZeitplan[[#This Row],[SONDERZAHLUNG]]&lt;=ZahlungsZeitplan[[#This Row],[ANFANGSSALDO]],ZahlungsZeitplan[[#This Row],[ANFANGSSALDO]]-ZahlungsZeitplan[[#This Row],[KAPITAL]],0),"")</f>
        <v>123176.40632999994</v>
      </c>
      <c r="K35" s="195">
        <f ca="1">IF(ZahlungsZeitplan[[#This Row],['#]]&lt;&gt;"",SUM(INDEX(ZahlungsZeitplan[ZINSEN],1,1):ZahlungsZeitplan[[#This Row],[ZINSEN]]),"")</f>
        <v>3517.9124912232346</v>
      </c>
    </row>
    <row r="36" spans="2:11">
      <c r="B36" s="193">
        <f ca="1">IF(DarlehenIstGut,IF(ROW()-ROW(ZahlungsZeitplan[[#Headers],['#]])&gt;PlanmäßigeAnzahlZahlungen,"",ROW()-ROW(ZahlungsZeitplan[[#Headers],['#]])),"")</f>
        <v>23</v>
      </c>
      <c r="C36" s="194">
        <f ca="1">IF(ZahlungsZeitplan[[#This Row],['#]]&lt;&gt;"",EOMONTH(DarlehensAnfangsDatum,ROW(ZahlungsZeitplan[[#This Row],['#]])-ROW(ZahlungsZeitplan[[#Headers],['#]])-2)+DAY(DarlehensAnfangsDatum),"")</f>
        <v>45995</v>
      </c>
      <c r="D36" s="195">
        <f ca="1">IF(ZahlungsZeitplan[[#This Row],['#]]&lt;&gt;"",IF(ROW()-ROW(ZahlungsZeitplan[[#Headers],[ANFANGSSALDO]])=1,DarlehensBetrag,INDEX(ZahlungsZeitplan[ENDSALDO],ROW()-ROW(ZahlungsZeitplan[[#Headers],[ANFANGSSALDO]])-1)),"")</f>
        <v>123176.40632999994</v>
      </c>
      <c r="E36" s="195">
        <f ca="1">IF(ZahlungsZeitplan[[#This Row],['#]]&lt;&gt;"",PlanmäßigeZahlung,"")</f>
        <v>645.29573460105871</v>
      </c>
      <c r="F3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6" s="195">
        <f ca="1">IF(ZahlungsZeitplan[[#This Row],['#]]&lt;&gt;"",ZahlungsZeitplan[[#This Row],[GESAMTZAHLUNG]]-ZahlungsZeitplan[[#This Row],[ZINSEN]],"")</f>
        <v>492.35169674130879</v>
      </c>
      <c r="I36" s="195">
        <f ca="1">IF(ZahlungsZeitplan[[#This Row],['#]]&lt;=($D$8*12),IF(ZahlungsZeitplan[[#This Row],['#]]&lt;&gt;"",ZahlungsZeitplan[[#This Row],[ANFANGSSALDO]]*(ZinsSatz/ZahlungenProJahr),""),IF(ZahlungsZeitplan[[#This Row],['#]]&lt;&gt;"",ZahlungsZeitplan[[#This Row],[ANFANGSSALDO]]*((ZinsSatz+$D$9)/ZahlungenProJahr),""))</f>
        <v>152.94403785974993</v>
      </c>
      <c r="J36" s="195">
        <f ca="1">IF(ZahlungsZeitplan[[#This Row],['#]]&lt;&gt;"",IF(ZahlungsZeitplan[[#This Row],[Zahlungen (Plan)]]+ZahlungsZeitplan[[#This Row],[SONDERZAHLUNG]]&lt;=ZahlungsZeitplan[[#This Row],[ANFANGSSALDO]],ZahlungsZeitplan[[#This Row],[ANFANGSSALDO]]-ZahlungsZeitplan[[#This Row],[KAPITAL]],0),"")</f>
        <v>122684.05463325864</v>
      </c>
      <c r="K36" s="195">
        <f ca="1">IF(ZahlungsZeitplan[[#This Row],['#]]&lt;&gt;"",SUM(INDEX(ZahlungsZeitplan[ZINSEN],1,1):ZahlungsZeitplan[[#This Row],[ZINSEN]]),"")</f>
        <v>3670.8565290829847</v>
      </c>
    </row>
    <row r="37" spans="2:11">
      <c r="B37" s="193">
        <f ca="1">IF(DarlehenIstGut,IF(ROW()-ROW(ZahlungsZeitplan[[#Headers],['#]])&gt;PlanmäßigeAnzahlZahlungen,"",ROW()-ROW(ZahlungsZeitplan[[#Headers],['#]])),"")</f>
        <v>24</v>
      </c>
      <c r="C37" s="194">
        <f ca="1">IF(ZahlungsZeitplan[[#This Row],['#]]&lt;&gt;"",EOMONTH(DarlehensAnfangsDatum,ROW(ZahlungsZeitplan[[#This Row],['#]])-ROW(ZahlungsZeitplan[[#Headers],['#]])-2)+DAY(DarlehensAnfangsDatum),"")</f>
        <v>46026</v>
      </c>
      <c r="D37" s="195">
        <f ca="1">IF(ZahlungsZeitplan[[#This Row],['#]]&lt;&gt;"",IF(ROW()-ROW(ZahlungsZeitplan[[#Headers],[ANFANGSSALDO]])=1,DarlehensBetrag,INDEX(ZahlungsZeitplan[ENDSALDO],ROW()-ROW(ZahlungsZeitplan[[#Headers],[ANFANGSSALDO]])-1)),"")</f>
        <v>122684.05463325864</v>
      </c>
      <c r="E37" s="195">
        <f ca="1">IF(ZahlungsZeitplan[[#This Row],['#]]&lt;&gt;"",PlanmäßigeZahlung,"")</f>
        <v>645.29573460105871</v>
      </c>
      <c r="F3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7" s="195">
        <f ca="1">IF(ZahlungsZeitplan[[#This Row],['#]]&lt;&gt;"",ZahlungsZeitplan[[#This Row],[GESAMTZAHLUNG]]-ZahlungsZeitplan[[#This Row],[ZINSEN]],"")</f>
        <v>492.96303343142927</v>
      </c>
      <c r="I37" s="195">
        <f ca="1">IF(ZahlungsZeitplan[[#This Row],['#]]&lt;=($D$8*12),IF(ZahlungsZeitplan[[#This Row],['#]]&lt;&gt;"",ZahlungsZeitplan[[#This Row],[ANFANGSSALDO]]*(ZinsSatz/ZahlungenProJahr),""),IF(ZahlungsZeitplan[[#This Row],['#]]&lt;&gt;"",ZahlungsZeitplan[[#This Row],[ANFANGSSALDO]]*((ZinsSatz+$D$9)/ZahlungenProJahr),""))</f>
        <v>152.33270116962947</v>
      </c>
      <c r="J37" s="195">
        <f ca="1">IF(ZahlungsZeitplan[[#This Row],['#]]&lt;&gt;"",IF(ZahlungsZeitplan[[#This Row],[Zahlungen (Plan)]]+ZahlungsZeitplan[[#This Row],[SONDERZAHLUNG]]&lt;=ZahlungsZeitplan[[#This Row],[ANFANGSSALDO]],ZahlungsZeitplan[[#This Row],[ANFANGSSALDO]]-ZahlungsZeitplan[[#This Row],[KAPITAL]],0),"")</f>
        <v>122191.09159982721</v>
      </c>
      <c r="K37" s="195">
        <f ca="1">IF(ZahlungsZeitplan[[#This Row],['#]]&lt;&gt;"",SUM(INDEX(ZahlungsZeitplan[ZINSEN],1,1):ZahlungsZeitplan[[#This Row],[ZINSEN]]),"")</f>
        <v>3823.1892302526144</v>
      </c>
    </row>
    <row r="38" spans="2:11">
      <c r="B38" s="193">
        <f ca="1">IF(DarlehenIstGut,IF(ROW()-ROW(ZahlungsZeitplan[[#Headers],['#]])&gt;PlanmäßigeAnzahlZahlungen,"",ROW()-ROW(ZahlungsZeitplan[[#Headers],['#]])),"")</f>
        <v>25</v>
      </c>
      <c r="C38" s="194">
        <f ca="1">IF(ZahlungsZeitplan[[#This Row],['#]]&lt;&gt;"",EOMONTH(DarlehensAnfangsDatum,ROW(ZahlungsZeitplan[[#This Row],['#]])-ROW(ZahlungsZeitplan[[#Headers],['#]])-2)+DAY(DarlehensAnfangsDatum),"")</f>
        <v>46057</v>
      </c>
      <c r="D38" s="195">
        <f ca="1">IF(ZahlungsZeitplan[[#This Row],['#]]&lt;&gt;"",IF(ROW()-ROW(ZahlungsZeitplan[[#Headers],[ANFANGSSALDO]])=1,DarlehensBetrag,INDEX(ZahlungsZeitplan[ENDSALDO],ROW()-ROW(ZahlungsZeitplan[[#Headers],[ANFANGSSALDO]])-1)),"")</f>
        <v>122191.09159982721</v>
      </c>
      <c r="E38" s="195">
        <f ca="1">IF(ZahlungsZeitplan[[#This Row],['#]]&lt;&gt;"",PlanmäßigeZahlung,"")</f>
        <v>645.29573460105871</v>
      </c>
      <c r="F3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8" s="195">
        <f ca="1">IF(ZahlungsZeitplan[[#This Row],['#]]&lt;&gt;"",ZahlungsZeitplan[[#This Row],[GESAMTZAHLUNG]]-ZahlungsZeitplan[[#This Row],[ZINSEN]],"")</f>
        <v>493.57512919793993</v>
      </c>
      <c r="I38" s="195">
        <f ca="1">IF(ZahlungsZeitplan[[#This Row],['#]]&lt;=($D$8*12),IF(ZahlungsZeitplan[[#This Row],['#]]&lt;&gt;"",ZahlungsZeitplan[[#This Row],[ANFANGSSALDO]]*(ZinsSatz/ZahlungenProJahr),""),IF(ZahlungsZeitplan[[#This Row],['#]]&lt;&gt;"",ZahlungsZeitplan[[#This Row],[ANFANGSSALDO]]*((ZinsSatz+$D$9)/ZahlungenProJahr),""))</f>
        <v>151.72060540311878</v>
      </c>
      <c r="J38" s="195">
        <f ca="1">IF(ZahlungsZeitplan[[#This Row],['#]]&lt;&gt;"",IF(ZahlungsZeitplan[[#This Row],[Zahlungen (Plan)]]+ZahlungsZeitplan[[#This Row],[SONDERZAHLUNG]]&lt;=ZahlungsZeitplan[[#This Row],[ANFANGSSALDO]],ZahlungsZeitplan[[#This Row],[ANFANGSSALDO]]-ZahlungsZeitplan[[#This Row],[KAPITAL]],0),"")</f>
        <v>121697.51647062927</v>
      </c>
      <c r="K38" s="195">
        <f ca="1">IF(ZahlungsZeitplan[[#This Row],['#]]&lt;&gt;"",SUM(INDEX(ZahlungsZeitplan[ZINSEN],1,1):ZahlungsZeitplan[[#This Row],[ZINSEN]]),"")</f>
        <v>3974.9098356557333</v>
      </c>
    </row>
    <row r="39" spans="2:11">
      <c r="B39" s="193">
        <f ca="1">IF(DarlehenIstGut,IF(ROW()-ROW(ZahlungsZeitplan[[#Headers],['#]])&gt;PlanmäßigeAnzahlZahlungen,"",ROW()-ROW(ZahlungsZeitplan[[#Headers],['#]])),"")</f>
        <v>26</v>
      </c>
      <c r="C39" s="194">
        <f ca="1">IF(ZahlungsZeitplan[[#This Row],['#]]&lt;&gt;"",EOMONTH(DarlehensAnfangsDatum,ROW(ZahlungsZeitplan[[#This Row],['#]])-ROW(ZahlungsZeitplan[[#Headers],['#]])-2)+DAY(DarlehensAnfangsDatum),"")</f>
        <v>46085</v>
      </c>
      <c r="D39" s="195">
        <f ca="1">IF(ZahlungsZeitplan[[#This Row],['#]]&lt;&gt;"",IF(ROW()-ROW(ZahlungsZeitplan[[#Headers],[ANFANGSSALDO]])=1,DarlehensBetrag,INDEX(ZahlungsZeitplan[ENDSALDO],ROW()-ROW(ZahlungsZeitplan[[#Headers],[ANFANGSSALDO]])-1)),"")</f>
        <v>121697.51647062927</v>
      </c>
      <c r="E39" s="195">
        <f ca="1">IF(ZahlungsZeitplan[[#This Row],['#]]&lt;&gt;"",PlanmäßigeZahlung,"")</f>
        <v>645.29573460105871</v>
      </c>
      <c r="F3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3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39" s="195">
        <f ca="1">IF(ZahlungsZeitplan[[#This Row],['#]]&lt;&gt;"",ZahlungsZeitplan[[#This Row],[GESAMTZAHLUNG]]-ZahlungsZeitplan[[#This Row],[ZINSEN]],"")</f>
        <v>494.18798498336071</v>
      </c>
      <c r="I39" s="195">
        <f ca="1">IF(ZahlungsZeitplan[[#This Row],['#]]&lt;=($D$8*12),IF(ZahlungsZeitplan[[#This Row],['#]]&lt;&gt;"",ZahlungsZeitplan[[#This Row],[ANFANGSSALDO]]*(ZinsSatz/ZahlungenProJahr),""),IF(ZahlungsZeitplan[[#This Row],['#]]&lt;&gt;"",ZahlungsZeitplan[[#This Row],[ANFANGSSALDO]]*((ZinsSatz+$D$9)/ZahlungenProJahr),""))</f>
        <v>151.10774961769803</v>
      </c>
      <c r="J39" s="195">
        <f ca="1">IF(ZahlungsZeitplan[[#This Row],['#]]&lt;&gt;"",IF(ZahlungsZeitplan[[#This Row],[Zahlungen (Plan)]]+ZahlungsZeitplan[[#This Row],[SONDERZAHLUNG]]&lt;=ZahlungsZeitplan[[#This Row],[ANFANGSSALDO]],ZahlungsZeitplan[[#This Row],[ANFANGSSALDO]]-ZahlungsZeitplan[[#This Row],[KAPITAL]],0),"")</f>
        <v>121203.32848564591</v>
      </c>
      <c r="K39" s="195">
        <f ca="1">IF(ZahlungsZeitplan[[#This Row],['#]]&lt;&gt;"",SUM(INDEX(ZahlungsZeitplan[ZINSEN],1,1):ZahlungsZeitplan[[#This Row],[ZINSEN]]),"")</f>
        <v>4126.017585273431</v>
      </c>
    </row>
    <row r="40" spans="2:11">
      <c r="B40" s="193">
        <f ca="1">IF(DarlehenIstGut,IF(ROW()-ROW(ZahlungsZeitplan[[#Headers],['#]])&gt;PlanmäßigeAnzahlZahlungen,"",ROW()-ROW(ZahlungsZeitplan[[#Headers],['#]])),"")</f>
        <v>27</v>
      </c>
      <c r="C40" s="194">
        <f ca="1">IF(ZahlungsZeitplan[[#This Row],['#]]&lt;&gt;"",EOMONTH(DarlehensAnfangsDatum,ROW(ZahlungsZeitplan[[#This Row],['#]])-ROW(ZahlungsZeitplan[[#Headers],['#]])-2)+DAY(DarlehensAnfangsDatum),"")</f>
        <v>46116</v>
      </c>
      <c r="D40" s="195">
        <f ca="1">IF(ZahlungsZeitplan[[#This Row],['#]]&lt;&gt;"",IF(ROW()-ROW(ZahlungsZeitplan[[#Headers],[ANFANGSSALDO]])=1,DarlehensBetrag,INDEX(ZahlungsZeitplan[ENDSALDO],ROW()-ROW(ZahlungsZeitplan[[#Headers],[ANFANGSSALDO]])-1)),"")</f>
        <v>121203.32848564591</v>
      </c>
      <c r="E40" s="195">
        <f ca="1">IF(ZahlungsZeitplan[[#This Row],['#]]&lt;&gt;"",PlanmäßigeZahlung,"")</f>
        <v>645.29573460105871</v>
      </c>
      <c r="F4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0" s="195">
        <f ca="1">IF(ZahlungsZeitplan[[#This Row],['#]]&lt;&gt;"",ZahlungsZeitplan[[#This Row],[GESAMTZAHLUNG]]-ZahlungsZeitplan[[#This Row],[ZINSEN]],"")</f>
        <v>494.80160173138171</v>
      </c>
      <c r="I40" s="195">
        <f ca="1">IF(ZahlungsZeitplan[[#This Row],['#]]&lt;=($D$8*12),IF(ZahlungsZeitplan[[#This Row],['#]]&lt;&gt;"",ZahlungsZeitplan[[#This Row],[ANFANGSSALDO]]*(ZinsSatz/ZahlungenProJahr),""),IF(ZahlungsZeitplan[[#This Row],['#]]&lt;&gt;"",ZahlungsZeitplan[[#This Row],[ANFANGSSALDO]]*((ZinsSatz+$D$9)/ZahlungenProJahr),""))</f>
        <v>150.494132869677</v>
      </c>
      <c r="J40" s="195">
        <f ca="1">IF(ZahlungsZeitplan[[#This Row],['#]]&lt;&gt;"",IF(ZahlungsZeitplan[[#This Row],[Zahlungen (Plan)]]+ZahlungsZeitplan[[#This Row],[SONDERZAHLUNG]]&lt;=ZahlungsZeitplan[[#This Row],[ANFANGSSALDO]],ZahlungsZeitplan[[#This Row],[ANFANGSSALDO]]-ZahlungsZeitplan[[#This Row],[KAPITAL]],0),"")</f>
        <v>120708.52688391453</v>
      </c>
      <c r="K40" s="195">
        <f ca="1">IF(ZahlungsZeitplan[[#This Row],['#]]&lt;&gt;"",SUM(INDEX(ZahlungsZeitplan[ZINSEN],1,1):ZahlungsZeitplan[[#This Row],[ZINSEN]]),"")</f>
        <v>4276.5117181431078</v>
      </c>
    </row>
    <row r="41" spans="2:11">
      <c r="B41" s="193">
        <f ca="1">IF(DarlehenIstGut,IF(ROW()-ROW(ZahlungsZeitplan[[#Headers],['#]])&gt;PlanmäßigeAnzahlZahlungen,"",ROW()-ROW(ZahlungsZeitplan[[#Headers],['#]])),"")</f>
        <v>28</v>
      </c>
      <c r="C41" s="194">
        <f ca="1">IF(ZahlungsZeitplan[[#This Row],['#]]&lt;&gt;"",EOMONTH(DarlehensAnfangsDatum,ROW(ZahlungsZeitplan[[#This Row],['#]])-ROW(ZahlungsZeitplan[[#Headers],['#]])-2)+DAY(DarlehensAnfangsDatum),"")</f>
        <v>46146</v>
      </c>
      <c r="D41" s="195">
        <f ca="1">IF(ZahlungsZeitplan[[#This Row],['#]]&lt;&gt;"",IF(ROW()-ROW(ZahlungsZeitplan[[#Headers],[ANFANGSSALDO]])=1,DarlehensBetrag,INDEX(ZahlungsZeitplan[ENDSALDO],ROW()-ROW(ZahlungsZeitplan[[#Headers],[ANFANGSSALDO]])-1)),"")</f>
        <v>120708.52688391453</v>
      </c>
      <c r="E41" s="195">
        <f ca="1">IF(ZahlungsZeitplan[[#This Row],['#]]&lt;&gt;"",PlanmäßigeZahlung,"")</f>
        <v>645.29573460105871</v>
      </c>
      <c r="F4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1" s="195">
        <f ca="1">IF(ZahlungsZeitplan[[#This Row],['#]]&lt;&gt;"",ZahlungsZeitplan[[#This Row],[GESAMTZAHLUNG]]-ZahlungsZeitplan[[#This Row],[ZINSEN]],"")</f>
        <v>495.41598038686482</v>
      </c>
      <c r="I41" s="195">
        <f ca="1">IF(ZahlungsZeitplan[[#This Row],['#]]&lt;=($D$8*12),IF(ZahlungsZeitplan[[#This Row],['#]]&lt;&gt;"",ZahlungsZeitplan[[#This Row],[ANFANGSSALDO]]*(ZinsSatz/ZahlungenProJahr),""),IF(ZahlungsZeitplan[[#This Row],['#]]&lt;&gt;"",ZahlungsZeitplan[[#This Row],[ANFANGSSALDO]]*((ZinsSatz+$D$9)/ZahlungenProJahr),""))</f>
        <v>149.87975421419389</v>
      </c>
      <c r="J41" s="195">
        <f ca="1">IF(ZahlungsZeitplan[[#This Row],['#]]&lt;&gt;"",IF(ZahlungsZeitplan[[#This Row],[Zahlungen (Plan)]]+ZahlungsZeitplan[[#This Row],[SONDERZAHLUNG]]&lt;=ZahlungsZeitplan[[#This Row],[ANFANGSSALDO]],ZahlungsZeitplan[[#This Row],[ANFANGSSALDO]]-ZahlungsZeitplan[[#This Row],[KAPITAL]],0),"")</f>
        <v>120213.11090352766</v>
      </c>
      <c r="K41" s="195">
        <f ca="1">IF(ZahlungsZeitplan[[#This Row],['#]]&lt;&gt;"",SUM(INDEX(ZahlungsZeitplan[ZINSEN],1,1):ZahlungsZeitplan[[#This Row],[ZINSEN]]),"")</f>
        <v>4426.3914723573016</v>
      </c>
    </row>
    <row r="42" spans="2:11">
      <c r="B42" s="193">
        <f ca="1">IF(DarlehenIstGut,IF(ROW()-ROW(ZahlungsZeitplan[[#Headers],['#]])&gt;PlanmäßigeAnzahlZahlungen,"",ROW()-ROW(ZahlungsZeitplan[[#Headers],['#]])),"")</f>
        <v>29</v>
      </c>
      <c r="C42" s="194">
        <f ca="1">IF(ZahlungsZeitplan[[#This Row],['#]]&lt;&gt;"",EOMONTH(DarlehensAnfangsDatum,ROW(ZahlungsZeitplan[[#This Row],['#]])-ROW(ZahlungsZeitplan[[#Headers],['#]])-2)+DAY(DarlehensAnfangsDatum),"")</f>
        <v>46177</v>
      </c>
      <c r="D42" s="195">
        <f ca="1">IF(ZahlungsZeitplan[[#This Row],['#]]&lt;&gt;"",IF(ROW()-ROW(ZahlungsZeitplan[[#Headers],[ANFANGSSALDO]])=1,DarlehensBetrag,INDEX(ZahlungsZeitplan[ENDSALDO],ROW()-ROW(ZahlungsZeitplan[[#Headers],[ANFANGSSALDO]])-1)),"")</f>
        <v>120213.11090352766</v>
      </c>
      <c r="E42" s="195">
        <f ca="1">IF(ZahlungsZeitplan[[#This Row],['#]]&lt;&gt;"",PlanmäßigeZahlung,"")</f>
        <v>645.29573460105871</v>
      </c>
      <c r="F4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2" s="195">
        <f ca="1">IF(ZahlungsZeitplan[[#This Row],['#]]&lt;&gt;"",ZahlungsZeitplan[[#This Row],[GESAMTZAHLUNG]]-ZahlungsZeitplan[[#This Row],[ZINSEN]],"")</f>
        <v>496.03112189584522</v>
      </c>
      <c r="I42" s="195">
        <f ca="1">IF(ZahlungsZeitplan[[#This Row],['#]]&lt;=($D$8*12),IF(ZahlungsZeitplan[[#This Row],['#]]&lt;&gt;"",ZahlungsZeitplan[[#This Row],[ANFANGSSALDO]]*(ZinsSatz/ZahlungenProJahr),""),IF(ZahlungsZeitplan[[#This Row],['#]]&lt;&gt;"",ZahlungsZeitplan[[#This Row],[ANFANGSSALDO]]*((ZinsSatz+$D$9)/ZahlungenProJahr),""))</f>
        <v>149.26461270521352</v>
      </c>
      <c r="J42" s="195">
        <f ca="1">IF(ZahlungsZeitplan[[#This Row],['#]]&lt;&gt;"",IF(ZahlungsZeitplan[[#This Row],[Zahlungen (Plan)]]+ZahlungsZeitplan[[#This Row],[SONDERZAHLUNG]]&lt;=ZahlungsZeitplan[[#This Row],[ANFANGSSALDO]],ZahlungsZeitplan[[#This Row],[ANFANGSSALDO]]-ZahlungsZeitplan[[#This Row],[KAPITAL]],0),"")</f>
        <v>119717.07978163181</v>
      </c>
      <c r="K42" s="195">
        <f ca="1">IF(ZahlungsZeitplan[[#This Row],['#]]&lt;&gt;"",SUM(INDEX(ZahlungsZeitplan[ZINSEN],1,1):ZahlungsZeitplan[[#This Row],[ZINSEN]]),"")</f>
        <v>4575.6560850625156</v>
      </c>
    </row>
    <row r="43" spans="2:11">
      <c r="B43" s="193">
        <f ca="1">IF(DarlehenIstGut,IF(ROW()-ROW(ZahlungsZeitplan[[#Headers],['#]])&gt;PlanmäßigeAnzahlZahlungen,"",ROW()-ROW(ZahlungsZeitplan[[#Headers],['#]])),"")</f>
        <v>30</v>
      </c>
      <c r="C43" s="194">
        <f ca="1">IF(ZahlungsZeitplan[[#This Row],['#]]&lt;&gt;"",EOMONTH(DarlehensAnfangsDatum,ROW(ZahlungsZeitplan[[#This Row],['#]])-ROW(ZahlungsZeitplan[[#Headers],['#]])-2)+DAY(DarlehensAnfangsDatum),"")</f>
        <v>46207</v>
      </c>
      <c r="D43" s="195">
        <f ca="1">IF(ZahlungsZeitplan[[#This Row],['#]]&lt;&gt;"",IF(ROW()-ROW(ZahlungsZeitplan[[#Headers],[ANFANGSSALDO]])=1,DarlehensBetrag,INDEX(ZahlungsZeitplan[ENDSALDO],ROW()-ROW(ZahlungsZeitplan[[#Headers],[ANFANGSSALDO]])-1)),"")</f>
        <v>119717.07978163181</v>
      </c>
      <c r="E43" s="195">
        <f ca="1">IF(ZahlungsZeitplan[[#This Row],['#]]&lt;&gt;"",PlanmäßigeZahlung,"")</f>
        <v>645.29573460105871</v>
      </c>
      <c r="F4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3" s="195">
        <f ca="1">IF(ZahlungsZeitplan[[#This Row],['#]]&lt;&gt;"",ZahlungsZeitplan[[#This Row],[GESAMTZAHLUNG]]-ZahlungsZeitplan[[#This Row],[ZINSEN]],"")</f>
        <v>496.64702720553254</v>
      </c>
      <c r="I43" s="195">
        <f ca="1">IF(ZahlungsZeitplan[[#This Row],['#]]&lt;=($D$8*12),IF(ZahlungsZeitplan[[#This Row],['#]]&lt;&gt;"",ZahlungsZeitplan[[#This Row],[ANFANGSSALDO]]*(ZinsSatz/ZahlungenProJahr),""),IF(ZahlungsZeitplan[[#This Row],['#]]&lt;&gt;"",ZahlungsZeitplan[[#This Row],[ANFANGSSALDO]]*((ZinsSatz+$D$9)/ZahlungenProJahr),""))</f>
        <v>148.64870739552617</v>
      </c>
      <c r="J43" s="195">
        <f ca="1">IF(ZahlungsZeitplan[[#This Row],['#]]&lt;&gt;"",IF(ZahlungsZeitplan[[#This Row],[Zahlungen (Plan)]]+ZahlungsZeitplan[[#This Row],[SONDERZAHLUNG]]&lt;=ZahlungsZeitplan[[#This Row],[ANFANGSSALDO]],ZahlungsZeitplan[[#This Row],[ANFANGSSALDO]]-ZahlungsZeitplan[[#This Row],[KAPITAL]],0),"")</f>
        <v>119220.43275442628</v>
      </c>
      <c r="K43" s="195">
        <f ca="1">IF(ZahlungsZeitplan[[#This Row],['#]]&lt;&gt;"",SUM(INDEX(ZahlungsZeitplan[ZINSEN],1,1):ZahlungsZeitplan[[#This Row],[ZINSEN]]),"")</f>
        <v>4724.3047924580414</v>
      </c>
    </row>
    <row r="44" spans="2:11">
      <c r="B44" s="193">
        <f ca="1">IF(DarlehenIstGut,IF(ROW()-ROW(ZahlungsZeitplan[[#Headers],['#]])&gt;PlanmäßigeAnzahlZahlungen,"",ROW()-ROW(ZahlungsZeitplan[[#Headers],['#]])),"")</f>
        <v>31</v>
      </c>
      <c r="C44" s="194">
        <f ca="1">IF(ZahlungsZeitplan[[#This Row],['#]]&lt;&gt;"",EOMONTH(DarlehensAnfangsDatum,ROW(ZahlungsZeitplan[[#This Row],['#]])-ROW(ZahlungsZeitplan[[#Headers],['#]])-2)+DAY(DarlehensAnfangsDatum),"")</f>
        <v>46238</v>
      </c>
      <c r="D44" s="195">
        <f ca="1">IF(ZahlungsZeitplan[[#This Row],['#]]&lt;&gt;"",IF(ROW()-ROW(ZahlungsZeitplan[[#Headers],[ANFANGSSALDO]])=1,DarlehensBetrag,INDEX(ZahlungsZeitplan[ENDSALDO],ROW()-ROW(ZahlungsZeitplan[[#Headers],[ANFANGSSALDO]])-1)),"")</f>
        <v>119220.43275442628</v>
      </c>
      <c r="E44" s="195">
        <f ca="1">IF(ZahlungsZeitplan[[#This Row],['#]]&lt;&gt;"",PlanmäßigeZahlung,"")</f>
        <v>645.29573460105871</v>
      </c>
      <c r="F4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4" s="195">
        <f ca="1">IF(ZahlungsZeitplan[[#This Row],['#]]&lt;&gt;"",ZahlungsZeitplan[[#This Row],[GESAMTZAHLUNG]]-ZahlungsZeitplan[[#This Row],[ZINSEN]],"")</f>
        <v>497.26369726431278</v>
      </c>
      <c r="I44" s="195">
        <f ca="1">IF(ZahlungsZeitplan[[#This Row],['#]]&lt;=($D$8*12),IF(ZahlungsZeitplan[[#This Row],['#]]&lt;&gt;"",ZahlungsZeitplan[[#This Row],[ANFANGSSALDO]]*(ZinsSatz/ZahlungenProJahr),""),IF(ZahlungsZeitplan[[#This Row],['#]]&lt;&gt;"",ZahlungsZeitplan[[#This Row],[ANFANGSSALDO]]*((ZinsSatz+$D$9)/ZahlungenProJahr),""))</f>
        <v>148.03203733674596</v>
      </c>
      <c r="J44" s="195">
        <f ca="1">IF(ZahlungsZeitplan[[#This Row],['#]]&lt;&gt;"",IF(ZahlungsZeitplan[[#This Row],[Zahlungen (Plan)]]+ZahlungsZeitplan[[#This Row],[SONDERZAHLUNG]]&lt;=ZahlungsZeitplan[[#This Row],[ANFANGSSALDO]],ZahlungsZeitplan[[#This Row],[ANFANGSSALDO]]-ZahlungsZeitplan[[#This Row],[KAPITAL]],0),"")</f>
        <v>118723.16905716197</v>
      </c>
      <c r="K44" s="195">
        <f ca="1">IF(ZahlungsZeitplan[[#This Row],['#]]&lt;&gt;"",SUM(INDEX(ZahlungsZeitplan[ZINSEN],1,1):ZahlungsZeitplan[[#This Row],[ZINSEN]]),"")</f>
        <v>4872.3368297947873</v>
      </c>
    </row>
    <row r="45" spans="2:11">
      <c r="B45" s="193">
        <f ca="1">IF(DarlehenIstGut,IF(ROW()-ROW(ZahlungsZeitplan[[#Headers],['#]])&gt;PlanmäßigeAnzahlZahlungen,"",ROW()-ROW(ZahlungsZeitplan[[#Headers],['#]])),"")</f>
        <v>32</v>
      </c>
      <c r="C45" s="194">
        <f ca="1">IF(ZahlungsZeitplan[[#This Row],['#]]&lt;&gt;"",EOMONTH(DarlehensAnfangsDatum,ROW(ZahlungsZeitplan[[#This Row],['#]])-ROW(ZahlungsZeitplan[[#Headers],['#]])-2)+DAY(DarlehensAnfangsDatum),"")</f>
        <v>46269</v>
      </c>
      <c r="D45" s="195">
        <f ca="1">IF(ZahlungsZeitplan[[#This Row],['#]]&lt;&gt;"",IF(ROW()-ROW(ZahlungsZeitplan[[#Headers],[ANFANGSSALDO]])=1,DarlehensBetrag,INDEX(ZahlungsZeitplan[ENDSALDO],ROW()-ROW(ZahlungsZeitplan[[#Headers],[ANFANGSSALDO]])-1)),"")</f>
        <v>118723.16905716197</v>
      </c>
      <c r="E45" s="195">
        <f ca="1">IF(ZahlungsZeitplan[[#This Row],['#]]&lt;&gt;"",PlanmäßigeZahlung,"")</f>
        <v>645.29573460105871</v>
      </c>
      <c r="F4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5" s="195">
        <f ca="1">IF(ZahlungsZeitplan[[#This Row],['#]]&lt;&gt;"",ZahlungsZeitplan[[#This Row],[GESAMTZAHLUNG]]-ZahlungsZeitplan[[#This Row],[ZINSEN]],"")</f>
        <v>497.88113302174929</v>
      </c>
      <c r="I45" s="195">
        <f ca="1">IF(ZahlungsZeitplan[[#This Row],['#]]&lt;=($D$8*12),IF(ZahlungsZeitplan[[#This Row],['#]]&lt;&gt;"",ZahlungsZeitplan[[#This Row],[ANFANGSSALDO]]*(ZinsSatz/ZahlungenProJahr),""),IF(ZahlungsZeitplan[[#This Row],['#]]&lt;&gt;"",ZahlungsZeitplan[[#This Row],[ANFANGSSALDO]]*((ZinsSatz+$D$9)/ZahlungenProJahr),""))</f>
        <v>147.41460157930945</v>
      </c>
      <c r="J45" s="195">
        <f ca="1">IF(ZahlungsZeitplan[[#This Row],['#]]&lt;&gt;"",IF(ZahlungsZeitplan[[#This Row],[Zahlungen (Plan)]]+ZahlungsZeitplan[[#This Row],[SONDERZAHLUNG]]&lt;=ZahlungsZeitplan[[#This Row],[ANFANGSSALDO]],ZahlungsZeitplan[[#This Row],[ANFANGSSALDO]]-ZahlungsZeitplan[[#This Row],[KAPITAL]],0),"")</f>
        <v>118225.28792414023</v>
      </c>
      <c r="K45" s="195">
        <f ca="1">IF(ZahlungsZeitplan[[#This Row],['#]]&lt;&gt;"",SUM(INDEX(ZahlungsZeitplan[ZINSEN],1,1):ZahlungsZeitplan[[#This Row],[ZINSEN]]),"")</f>
        <v>5019.7514313740967</v>
      </c>
    </row>
    <row r="46" spans="2:11">
      <c r="B46" s="193">
        <f ca="1">IF(DarlehenIstGut,IF(ROW()-ROW(ZahlungsZeitplan[[#Headers],['#]])&gt;PlanmäßigeAnzahlZahlungen,"",ROW()-ROW(ZahlungsZeitplan[[#Headers],['#]])),"")</f>
        <v>33</v>
      </c>
      <c r="C46" s="194">
        <f ca="1">IF(ZahlungsZeitplan[[#This Row],['#]]&lt;&gt;"",EOMONTH(DarlehensAnfangsDatum,ROW(ZahlungsZeitplan[[#This Row],['#]])-ROW(ZahlungsZeitplan[[#Headers],['#]])-2)+DAY(DarlehensAnfangsDatum),"")</f>
        <v>46299</v>
      </c>
      <c r="D46" s="195">
        <f ca="1">IF(ZahlungsZeitplan[[#This Row],['#]]&lt;&gt;"",IF(ROW()-ROW(ZahlungsZeitplan[[#Headers],[ANFANGSSALDO]])=1,DarlehensBetrag,INDEX(ZahlungsZeitplan[ENDSALDO],ROW()-ROW(ZahlungsZeitplan[[#Headers],[ANFANGSSALDO]])-1)),"")</f>
        <v>118225.28792414023</v>
      </c>
      <c r="E46" s="195">
        <f ca="1">IF(ZahlungsZeitplan[[#This Row],['#]]&lt;&gt;"",PlanmäßigeZahlung,"")</f>
        <v>645.29573460105871</v>
      </c>
      <c r="F4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6" s="195">
        <f ca="1">IF(ZahlungsZeitplan[[#This Row],['#]]&lt;&gt;"",ZahlungsZeitplan[[#This Row],[GESAMTZAHLUNG]]-ZahlungsZeitplan[[#This Row],[ZINSEN]],"")</f>
        <v>498.49933542858457</v>
      </c>
      <c r="I46" s="195">
        <f ca="1">IF(ZahlungsZeitplan[[#This Row],['#]]&lt;=($D$8*12),IF(ZahlungsZeitplan[[#This Row],['#]]&lt;&gt;"",ZahlungsZeitplan[[#This Row],[ANFANGSSALDO]]*(ZinsSatz/ZahlungenProJahr),""),IF(ZahlungsZeitplan[[#This Row],['#]]&lt;&gt;"",ZahlungsZeitplan[[#This Row],[ANFANGSSALDO]]*((ZinsSatz+$D$9)/ZahlungenProJahr),""))</f>
        <v>146.79639917247411</v>
      </c>
      <c r="J46" s="195">
        <f ca="1">IF(ZahlungsZeitplan[[#This Row],['#]]&lt;&gt;"",IF(ZahlungsZeitplan[[#This Row],[Zahlungen (Plan)]]+ZahlungsZeitplan[[#This Row],[SONDERZAHLUNG]]&lt;=ZahlungsZeitplan[[#This Row],[ANFANGSSALDO]],ZahlungsZeitplan[[#This Row],[ANFANGSSALDO]]-ZahlungsZeitplan[[#This Row],[KAPITAL]],0),"")</f>
        <v>117726.78858871164</v>
      </c>
      <c r="K46" s="195">
        <f ca="1">IF(ZahlungsZeitplan[[#This Row],['#]]&lt;&gt;"",SUM(INDEX(ZahlungsZeitplan[ZINSEN],1,1):ZahlungsZeitplan[[#This Row],[ZINSEN]]),"")</f>
        <v>5166.5478305465704</v>
      </c>
    </row>
    <row r="47" spans="2:11">
      <c r="B47" s="193">
        <f ca="1">IF(DarlehenIstGut,IF(ROW()-ROW(ZahlungsZeitplan[[#Headers],['#]])&gt;PlanmäßigeAnzahlZahlungen,"",ROW()-ROW(ZahlungsZeitplan[[#Headers],['#]])),"")</f>
        <v>34</v>
      </c>
      <c r="C47" s="194">
        <f ca="1">IF(ZahlungsZeitplan[[#This Row],['#]]&lt;&gt;"",EOMONTH(DarlehensAnfangsDatum,ROW(ZahlungsZeitplan[[#This Row],['#]])-ROW(ZahlungsZeitplan[[#Headers],['#]])-2)+DAY(DarlehensAnfangsDatum),"")</f>
        <v>46330</v>
      </c>
      <c r="D47" s="195">
        <f ca="1">IF(ZahlungsZeitplan[[#This Row],['#]]&lt;&gt;"",IF(ROW()-ROW(ZahlungsZeitplan[[#Headers],[ANFANGSSALDO]])=1,DarlehensBetrag,INDEX(ZahlungsZeitplan[ENDSALDO],ROW()-ROW(ZahlungsZeitplan[[#Headers],[ANFANGSSALDO]])-1)),"")</f>
        <v>117726.78858871164</v>
      </c>
      <c r="E47" s="195">
        <f ca="1">IF(ZahlungsZeitplan[[#This Row],['#]]&lt;&gt;"",PlanmäßigeZahlung,"")</f>
        <v>645.29573460105871</v>
      </c>
      <c r="F4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7" s="195">
        <f ca="1">IF(ZahlungsZeitplan[[#This Row],['#]]&lt;&gt;"",ZahlungsZeitplan[[#This Row],[GESAMTZAHLUNG]]-ZahlungsZeitplan[[#This Row],[ZINSEN]],"")</f>
        <v>499.11830543674171</v>
      </c>
      <c r="I47" s="195">
        <f ca="1">IF(ZahlungsZeitplan[[#This Row],['#]]&lt;=($D$8*12),IF(ZahlungsZeitplan[[#This Row],['#]]&lt;&gt;"",ZahlungsZeitplan[[#This Row],[ANFANGSSALDO]]*(ZinsSatz/ZahlungenProJahr),""),IF(ZahlungsZeitplan[[#This Row],['#]]&lt;&gt;"",ZahlungsZeitplan[[#This Row],[ANFANGSSALDO]]*((ZinsSatz+$D$9)/ZahlungenProJahr),""))</f>
        <v>146.17742916431698</v>
      </c>
      <c r="J47" s="195">
        <f ca="1">IF(ZahlungsZeitplan[[#This Row],['#]]&lt;&gt;"",IF(ZahlungsZeitplan[[#This Row],[Zahlungen (Plan)]]+ZahlungsZeitplan[[#This Row],[SONDERZAHLUNG]]&lt;=ZahlungsZeitplan[[#This Row],[ANFANGSSALDO]],ZahlungsZeitplan[[#This Row],[ANFANGSSALDO]]-ZahlungsZeitplan[[#This Row],[KAPITAL]],0),"")</f>
        <v>117227.6702832749</v>
      </c>
      <c r="K47" s="195">
        <f ca="1">IF(ZahlungsZeitplan[[#This Row],['#]]&lt;&gt;"",SUM(INDEX(ZahlungsZeitplan[ZINSEN],1,1):ZahlungsZeitplan[[#This Row],[ZINSEN]]),"")</f>
        <v>5312.7252597108873</v>
      </c>
    </row>
    <row r="48" spans="2:11">
      <c r="B48" s="193">
        <f ca="1">IF(DarlehenIstGut,IF(ROW()-ROW(ZahlungsZeitplan[[#Headers],['#]])&gt;PlanmäßigeAnzahlZahlungen,"",ROW()-ROW(ZahlungsZeitplan[[#Headers],['#]])),"")</f>
        <v>35</v>
      </c>
      <c r="C48" s="194">
        <f ca="1">IF(ZahlungsZeitplan[[#This Row],['#]]&lt;&gt;"",EOMONTH(DarlehensAnfangsDatum,ROW(ZahlungsZeitplan[[#This Row],['#]])-ROW(ZahlungsZeitplan[[#Headers],['#]])-2)+DAY(DarlehensAnfangsDatum),"")</f>
        <v>46360</v>
      </c>
      <c r="D48" s="195">
        <f ca="1">IF(ZahlungsZeitplan[[#This Row],['#]]&lt;&gt;"",IF(ROW()-ROW(ZahlungsZeitplan[[#Headers],[ANFANGSSALDO]])=1,DarlehensBetrag,INDEX(ZahlungsZeitplan[ENDSALDO],ROW()-ROW(ZahlungsZeitplan[[#Headers],[ANFANGSSALDO]])-1)),"")</f>
        <v>117227.6702832749</v>
      </c>
      <c r="E48" s="195">
        <f ca="1">IF(ZahlungsZeitplan[[#This Row],['#]]&lt;&gt;"",PlanmäßigeZahlung,"")</f>
        <v>645.29573460105871</v>
      </c>
      <c r="F4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8" s="195">
        <f ca="1">IF(ZahlungsZeitplan[[#This Row],['#]]&lt;&gt;"",ZahlungsZeitplan[[#This Row],[GESAMTZAHLUNG]]-ZahlungsZeitplan[[#This Row],[ZINSEN]],"")</f>
        <v>499.73804399932567</v>
      </c>
      <c r="I48" s="195">
        <f ca="1">IF(ZahlungsZeitplan[[#This Row],['#]]&lt;=($D$8*12),IF(ZahlungsZeitplan[[#This Row],['#]]&lt;&gt;"",ZahlungsZeitplan[[#This Row],[ANFANGSSALDO]]*(ZinsSatz/ZahlungenProJahr),""),IF(ZahlungsZeitplan[[#This Row],['#]]&lt;&gt;"",ZahlungsZeitplan[[#This Row],[ANFANGSSALDO]]*((ZinsSatz+$D$9)/ZahlungenProJahr),""))</f>
        <v>145.55769060173301</v>
      </c>
      <c r="J48" s="195">
        <f ca="1">IF(ZahlungsZeitplan[[#This Row],['#]]&lt;&gt;"",IF(ZahlungsZeitplan[[#This Row],[Zahlungen (Plan)]]+ZahlungsZeitplan[[#This Row],[SONDERZAHLUNG]]&lt;=ZahlungsZeitplan[[#This Row],[ANFANGSSALDO]],ZahlungsZeitplan[[#This Row],[ANFANGSSALDO]]-ZahlungsZeitplan[[#This Row],[KAPITAL]],0),"")</f>
        <v>116727.93223927557</v>
      </c>
      <c r="K48" s="195">
        <f ca="1">IF(ZahlungsZeitplan[[#This Row],['#]]&lt;&gt;"",SUM(INDEX(ZahlungsZeitplan[ZINSEN],1,1):ZahlungsZeitplan[[#This Row],[ZINSEN]]),"")</f>
        <v>5458.2829503126204</v>
      </c>
    </row>
    <row r="49" spans="2:11">
      <c r="B49" s="193">
        <f ca="1">IF(DarlehenIstGut,IF(ROW()-ROW(ZahlungsZeitplan[[#Headers],['#]])&gt;PlanmäßigeAnzahlZahlungen,"",ROW()-ROW(ZahlungsZeitplan[[#Headers],['#]])),"")</f>
        <v>36</v>
      </c>
      <c r="C49" s="194">
        <f ca="1">IF(ZahlungsZeitplan[[#This Row],['#]]&lt;&gt;"",EOMONTH(DarlehensAnfangsDatum,ROW(ZahlungsZeitplan[[#This Row],['#]])-ROW(ZahlungsZeitplan[[#Headers],['#]])-2)+DAY(DarlehensAnfangsDatum),"")</f>
        <v>46391</v>
      </c>
      <c r="D49" s="195">
        <f ca="1">IF(ZahlungsZeitplan[[#This Row],['#]]&lt;&gt;"",IF(ROW()-ROW(ZahlungsZeitplan[[#Headers],[ANFANGSSALDO]])=1,DarlehensBetrag,INDEX(ZahlungsZeitplan[ENDSALDO],ROW()-ROW(ZahlungsZeitplan[[#Headers],[ANFANGSSALDO]])-1)),"")</f>
        <v>116727.93223927557</v>
      </c>
      <c r="E49" s="195">
        <f ca="1">IF(ZahlungsZeitplan[[#This Row],['#]]&lt;&gt;"",PlanmäßigeZahlung,"")</f>
        <v>645.29573460105871</v>
      </c>
      <c r="F4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4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49" s="195">
        <f ca="1">IF(ZahlungsZeitplan[[#This Row],['#]]&lt;&gt;"",ZahlungsZeitplan[[#This Row],[GESAMTZAHLUNG]]-ZahlungsZeitplan[[#This Row],[ZINSEN]],"")</f>
        <v>500.35855207062491</v>
      </c>
      <c r="I49" s="195">
        <f ca="1">IF(ZahlungsZeitplan[[#This Row],['#]]&lt;=($D$8*12),IF(ZahlungsZeitplan[[#This Row],['#]]&lt;&gt;"",ZahlungsZeitplan[[#This Row],[ANFANGSSALDO]]*(ZinsSatz/ZahlungenProJahr),""),IF(ZahlungsZeitplan[[#This Row],['#]]&lt;&gt;"",ZahlungsZeitplan[[#This Row],[ANFANGSSALDO]]*((ZinsSatz+$D$9)/ZahlungenProJahr),""))</f>
        <v>144.93718253043383</v>
      </c>
      <c r="J49" s="195">
        <f ca="1">IF(ZahlungsZeitplan[[#This Row],['#]]&lt;&gt;"",IF(ZahlungsZeitplan[[#This Row],[Zahlungen (Plan)]]+ZahlungsZeitplan[[#This Row],[SONDERZAHLUNG]]&lt;=ZahlungsZeitplan[[#This Row],[ANFANGSSALDO]],ZahlungsZeitplan[[#This Row],[ANFANGSSALDO]]-ZahlungsZeitplan[[#This Row],[KAPITAL]],0),"")</f>
        <v>116227.57368720495</v>
      </c>
      <c r="K49" s="195">
        <f ca="1">IF(ZahlungsZeitplan[[#This Row],['#]]&lt;&gt;"",SUM(INDEX(ZahlungsZeitplan[ZINSEN],1,1):ZahlungsZeitplan[[#This Row],[ZINSEN]]),"")</f>
        <v>5603.2201328430547</v>
      </c>
    </row>
    <row r="50" spans="2:11">
      <c r="B50" s="193">
        <f ca="1">IF(DarlehenIstGut,IF(ROW()-ROW(ZahlungsZeitplan[[#Headers],['#]])&gt;PlanmäßigeAnzahlZahlungen,"",ROW()-ROW(ZahlungsZeitplan[[#Headers],['#]])),"")</f>
        <v>37</v>
      </c>
      <c r="C50" s="194">
        <f ca="1">IF(ZahlungsZeitplan[[#This Row],['#]]&lt;&gt;"",EOMONTH(DarlehensAnfangsDatum,ROW(ZahlungsZeitplan[[#This Row],['#]])-ROW(ZahlungsZeitplan[[#Headers],['#]])-2)+DAY(DarlehensAnfangsDatum),"")</f>
        <v>46422</v>
      </c>
      <c r="D50" s="195">
        <f ca="1">IF(ZahlungsZeitplan[[#This Row],['#]]&lt;&gt;"",IF(ROW()-ROW(ZahlungsZeitplan[[#Headers],[ANFANGSSALDO]])=1,DarlehensBetrag,INDEX(ZahlungsZeitplan[ENDSALDO],ROW()-ROW(ZahlungsZeitplan[[#Headers],[ANFANGSSALDO]])-1)),"")</f>
        <v>116227.57368720495</v>
      </c>
      <c r="E50" s="195">
        <f ca="1">IF(ZahlungsZeitplan[[#This Row],['#]]&lt;&gt;"",PlanmäßigeZahlung,"")</f>
        <v>645.29573460105871</v>
      </c>
      <c r="F5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0" s="195">
        <f ca="1">IF(ZahlungsZeitplan[[#This Row],['#]]&lt;&gt;"",ZahlungsZeitplan[[#This Row],[GESAMTZAHLUNG]]-ZahlungsZeitplan[[#This Row],[ZINSEN]],"")</f>
        <v>500.97983060611256</v>
      </c>
      <c r="I50" s="195">
        <f ca="1">IF(ZahlungsZeitplan[[#This Row],['#]]&lt;=($D$8*12),IF(ZahlungsZeitplan[[#This Row],['#]]&lt;&gt;"",ZahlungsZeitplan[[#This Row],[ANFANGSSALDO]]*(ZinsSatz/ZahlungenProJahr),""),IF(ZahlungsZeitplan[[#This Row],['#]]&lt;&gt;"",ZahlungsZeitplan[[#This Row],[ANFANGSSALDO]]*((ZinsSatz+$D$9)/ZahlungenProJahr),""))</f>
        <v>144.31590399494615</v>
      </c>
      <c r="J50" s="195">
        <f ca="1">IF(ZahlungsZeitplan[[#This Row],['#]]&lt;&gt;"",IF(ZahlungsZeitplan[[#This Row],[Zahlungen (Plan)]]+ZahlungsZeitplan[[#This Row],[SONDERZAHLUNG]]&lt;=ZahlungsZeitplan[[#This Row],[ANFANGSSALDO]],ZahlungsZeitplan[[#This Row],[ANFANGSSALDO]]-ZahlungsZeitplan[[#This Row],[KAPITAL]],0),"")</f>
        <v>115726.59385659883</v>
      </c>
      <c r="K50" s="195">
        <f ca="1">IF(ZahlungsZeitplan[[#This Row],['#]]&lt;&gt;"",SUM(INDEX(ZahlungsZeitplan[ZINSEN],1,1):ZahlungsZeitplan[[#This Row],[ZINSEN]]),"")</f>
        <v>5747.5360368380007</v>
      </c>
    </row>
    <row r="51" spans="2:11">
      <c r="B51" s="193">
        <f ca="1">IF(DarlehenIstGut,IF(ROW()-ROW(ZahlungsZeitplan[[#Headers],['#]])&gt;PlanmäßigeAnzahlZahlungen,"",ROW()-ROW(ZahlungsZeitplan[[#Headers],['#]])),"")</f>
        <v>38</v>
      </c>
      <c r="C51" s="194">
        <f ca="1">IF(ZahlungsZeitplan[[#This Row],['#]]&lt;&gt;"",EOMONTH(DarlehensAnfangsDatum,ROW(ZahlungsZeitplan[[#This Row],['#]])-ROW(ZahlungsZeitplan[[#Headers],['#]])-2)+DAY(DarlehensAnfangsDatum),"")</f>
        <v>46450</v>
      </c>
      <c r="D51" s="195">
        <f ca="1">IF(ZahlungsZeitplan[[#This Row],['#]]&lt;&gt;"",IF(ROW()-ROW(ZahlungsZeitplan[[#Headers],[ANFANGSSALDO]])=1,DarlehensBetrag,INDEX(ZahlungsZeitplan[ENDSALDO],ROW()-ROW(ZahlungsZeitplan[[#Headers],[ANFANGSSALDO]])-1)),"")</f>
        <v>115726.59385659883</v>
      </c>
      <c r="E51" s="195">
        <f ca="1">IF(ZahlungsZeitplan[[#This Row],['#]]&lt;&gt;"",PlanmäßigeZahlung,"")</f>
        <v>645.29573460105871</v>
      </c>
      <c r="F5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1" s="195">
        <f ca="1">IF(ZahlungsZeitplan[[#This Row],['#]]&lt;&gt;"",ZahlungsZeitplan[[#This Row],[GESAMTZAHLUNG]]-ZahlungsZeitplan[[#This Row],[ZINSEN]],"")</f>
        <v>501.60188056244851</v>
      </c>
      <c r="I51" s="195">
        <f ca="1">IF(ZahlungsZeitplan[[#This Row],['#]]&lt;=($D$8*12),IF(ZahlungsZeitplan[[#This Row],['#]]&lt;&gt;"",ZahlungsZeitplan[[#This Row],[ANFANGSSALDO]]*(ZinsSatz/ZahlungenProJahr),""),IF(ZahlungsZeitplan[[#This Row],['#]]&lt;&gt;"",ZahlungsZeitplan[[#This Row],[ANFANGSSALDO]]*((ZinsSatz+$D$9)/ZahlungenProJahr),""))</f>
        <v>143.69385403861023</v>
      </c>
      <c r="J51" s="195">
        <f ca="1">IF(ZahlungsZeitplan[[#This Row],['#]]&lt;&gt;"",IF(ZahlungsZeitplan[[#This Row],[Zahlungen (Plan)]]+ZahlungsZeitplan[[#This Row],[SONDERZAHLUNG]]&lt;=ZahlungsZeitplan[[#This Row],[ANFANGSSALDO]],ZahlungsZeitplan[[#This Row],[ANFANGSSALDO]]-ZahlungsZeitplan[[#This Row],[KAPITAL]],0),"")</f>
        <v>115224.99197603638</v>
      </c>
      <c r="K51" s="195">
        <f ca="1">IF(ZahlungsZeitplan[[#This Row],['#]]&lt;&gt;"",SUM(INDEX(ZahlungsZeitplan[ZINSEN],1,1):ZahlungsZeitplan[[#This Row],[ZINSEN]]),"")</f>
        <v>5891.2298908766106</v>
      </c>
    </row>
    <row r="52" spans="2:11">
      <c r="B52" s="193">
        <f ca="1">IF(DarlehenIstGut,IF(ROW()-ROW(ZahlungsZeitplan[[#Headers],['#]])&gt;PlanmäßigeAnzahlZahlungen,"",ROW()-ROW(ZahlungsZeitplan[[#Headers],['#]])),"")</f>
        <v>39</v>
      </c>
      <c r="C52" s="194">
        <f ca="1">IF(ZahlungsZeitplan[[#This Row],['#]]&lt;&gt;"",EOMONTH(DarlehensAnfangsDatum,ROW(ZahlungsZeitplan[[#This Row],['#]])-ROW(ZahlungsZeitplan[[#Headers],['#]])-2)+DAY(DarlehensAnfangsDatum),"")</f>
        <v>46481</v>
      </c>
      <c r="D52" s="195">
        <f ca="1">IF(ZahlungsZeitplan[[#This Row],['#]]&lt;&gt;"",IF(ROW()-ROW(ZahlungsZeitplan[[#Headers],[ANFANGSSALDO]])=1,DarlehensBetrag,INDEX(ZahlungsZeitplan[ENDSALDO],ROW()-ROW(ZahlungsZeitplan[[#Headers],[ANFANGSSALDO]])-1)),"")</f>
        <v>115224.99197603638</v>
      </c>
      <c r="E52" s="195">
        <f ca="1">IF(ZahlungsZeitplan[[#This Row],['#]]&lt;&gt;"",PlanmäßigeZahlung,"")</f>
        <v>645.29573460105871</v>
      </c>
      <c r="F5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2" s="195">
        <f ca="1">IF(ZahlungsZeitplan[[#This Row],['#]]&lt;&gt;"",ZahlungsZeitplan[[#This Row],[GESAMTZAHLUNG]]-ZahlungsZeitplan[[#This Row],[ZINSEN]],"")</f>
        <v>502.2247028974802</v>
      </c>
      <c r="I52" s="195">
        <f ca="1">IF(ZahlungsZeitplan[[#This Row],['#]]&lt;=($D$8*12),IF(ZahlungsZeitplan[[#This Row],['#]]&lt;&gt;"",ZahlungsZeitplan[[#This Row],[ANFANGSSALDO]]*(ZinsSatz/ZahlungenProJahr),""),IF(ZahlungsZeitplan[[#This Row],['#]]&lt;&gt;"",ZahlungsZeitplan[[#This Row],[ANFANGSSALDO]]*((ZinsSatz+$D$9)/ZahlungenProJahr),""))</f>
        <v>143.07103170357851</v>
      </c>
      <c r="J52" s="195">
        <f ca="1">IF(ZahlungsZeitplan[[#This Row],['#]]&lt;&gt;"",IF(ZahlungsZeitplan[[#This Row],[Zahlungen (Plan)]]+ZahlungsZeitplan[[#This Row],[SONDERZAHLUNG]]&lt;=ZahlungsZeitplan[[#This Row],[ANFANGSSALDO]],ZahlungsZeitplan[[#This Row],[ANFANGSSALDO]]-ZahlungsZeitplan[[#This Row],[KAPITAL]],0),"")</f>
        <v>114722.7672731389</v>
      </c>
      <c r="K52" s="195">
        <f ca="1">IF(ZahlungsZeitplan[[#This Row],['#]]&lt;&gt;"",SUM(INDEX(ZahlungsZeitplan[ZINSEN],1,1):ZahlungsZeitplan[[#This Row],[ZINSEN]]),"")</f>
        <v>6034.3009225801889</v>
      </c>
    </row>
    <row r="53" spans="2:11">
      <c r="B53" s="193">
        <f ca="1">IF(DarlehenIstGut,IF(ROW()-ROW(ZahlungsZeitplan[[#Headers],['#]])&gt;PlanmäßigeAnzahlZahlungen,"",ROW()-ROW(ZahlungsZeitplan[[#Headers],['#]])),"")</f>
        <v>40</v>
      </c>
      <c r="C53" s="194">
        <f ca="1">IF(ZahlungsZeitplan[[#This Row],['#]]&lt;&gt;"",EOMONTH(DarlehensAnfangsDatum,ROW(ZahlungsZeitplan[[#This Row],['#]])-ROW(ZahlungsZeitplan[[#Headers],['#]])-2)+DAY(DarlehensAnfangsDatum),"")</f>
        <v>46511</v>
      </c>
      <c r="D53" s="195">
        <f ca="1">IF(ZahlungsZeitplan[[#This Row],['#]]&lt;&gt;"",IF(ROW()-ROW(ZahlungsZeitplan[[#Headers],[ANFANGSSALDO]])=1,DarlehensBetrag,INDEX(ZahlungsZeitplan[ENDSALDO],ROW()-ROW(ZahlungsZeitplan[[#Headers],[ANFANGSSALDO]])-1)),"")</f>
        <v>114722.7672731389</v>
      </c>
      <c r="E53" s="195">
        <f ca="1">IF(ZahlungsZeitplan[[#This Row],['#]]&lt;&gt;"",PlanmäßigeZahlung,"")</f>
        <v>645.29573460105871</v>
      </c>
      <c r="F5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3" s="195">
        <f ca="1">IF(ZahlungsZeitplan[[#This Row],['#]]&lt;&gt;"",ZahlungsZeitplan[[#This Row],[GESAMTZAHLUNG]]-ZahlungsZeitplan[[#This Row],[ZINSEN]],"")</f>
        <v>502.84829857024454</v>
      </c>
      <c r="I53" s="195">
        <f ca="1">IF(ZahlungsZeitplan[[#This Row],['#]]&lt;=($D$8*12),IF(ZahlungsZeitplan[[#This Row],['#]]&lt;&gt;"",ZahlungsZeitplan[[#This Row],[ANFANGSSALDO]]*(ZinsSatz/ZahlungenProJahr),""),IF(ZahlungsZeitplan[[#This Row],['#]]&lt;&gt;"",ZahlungsZeitplan[[#This Row],[ANFANGSSALDO]]*((ZinsSatz+$D$9)/ZahlungenProJahr),""))</f>
        <v>142.44743603081415</v>
      </c>
      <c r="J53" s="195">
        <f ca="1">IF(ZahlungsZeitplan[[#This Row],['#]]&lt;&gt;"",IF(ZahlungsZeitplan[[#This Row],[Zahlungen (Plan)]]+ZahlungsZeitplan[[#This Row],[SONDERZAHLUNG]]&lt;=ZahlungsZeitplan[[#This Row],[ANFANGSSALDO]],ZahlungsZeitplan[[#This Row],[ANFANGSSALDO]]-ZahlungsZeitplan[[#This Row],[KAPITAL]],0),"")</f>
        <v>114219.91897456866</v>
      </c>
      <c r="K53" s="195">
        <f ca="1">IF(ZahlungsZeitplan[[#This Row],['#]]&lt;&gt;"",SUM(INDEX(ZahlungsZeitplan[ZINSEN],1,1):ZahlungsZeitplan[[#This Row],[ZINSEN]]),"")</f>
        <v>6176.7483586110029</v>
      </c>
    </row>
    <row r="54" spans="2:11">
      <c r="B54" s="193">
        <f ca="1">IF(DarlehenIstGut,IF(ROW()-ROW(ZahlungsZeitplan[[#Headers],['#]])&gt;PlanmäßigeAnzahlZahlungen,"",ROW()-ROW(ZahlungsZeitplan[[#Headers],['#]])),"")</f>
        <v>41</v>
      </c>
      <c r="C54" s="194">
        <f ca="1">IF(ZahlungsZeitplan[[#This Row],['#]]&lt;&gt;"",EOMONTH(DarlehensAnfangsDatum,ROW(ZahlungsZeitplan[[#This Row],['#]])-ROW(ZahlungsZeitplan[[#Headers],['#]])-2)+DAY(DarlehensAnfangsDatum),"")</f>
        <v>46542</v>
      </c>
      <c r="D54" s="195">
        <f ca="1">IF(ZahlungsZeitplan[[#This Row],['#]]&lt;&gt;"",IF(ROW()-ROW(ZahlungsZeitplan[[#Headers],[ANFANGSSALDO]])=1,DarlehensBetrag,INDEX(ZahlungsZeitplan[ENDSALDO],ROW()-ROW(ZahlungsZeitplan[[#Headers],[ANFANGSSALDO]])-1)),"")</f>
        <v>114219.91897456866</v>
      </c>
      <c r="E54" s="195">
        <f ca="1">IF(ZahlungsZeitplan[[#This Row],['#]]&lt;&gt;"",PlanmäßigeZahlung,"")</f>
        <v>645.29573460105871</v>
      </c>
      <c r="F5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4" s="195">
        <f ca="1">IF(ZahlungsZeitplan[[#This Row],['#]]&lt;&gt;"",ZahlungsZeitplan[[#This Row],[GESAMTZAHLUNG]]-ZahlungsZeitplan[[#This Row],[ZINSEN]],"")</f>
        <v>503.47266854096927</v>
      </c>
      <c r="I54" s="195">
        <f ca="1">IF(ZahlungsZeitplan[[#This Row],['#]]&lt;=($D$8*12),IF(ZahlungsZeitplan[[#This Row],['#]]&lt;&gt;"",ZahlungsZeitplan[[#This Row],[ANFANGSSALDO]]*(ZinsSatz/ZahlungenProJahr),""),IF(ZahlungsZeitplan[[#This Row],['#]]&lt;&gt;"",ZahlungsZeitplan[[#This Row],[ANFANGSSALDO]]*((ZinsSatz+$D$9)/ZahlungenProJahr),""))</f>
        <v>141.82306606008942</v>
      </c>
      <c r="J54" s="195">
        <f ca="1">IF(ZahlungsZeitplan[[#This Row],['#]]&lt;&gt;"",IF(ZahlungsZeitplan[[#This Row],[Zahlungen (Plan)]]+ZahlungsZeitplan[[#This Row],[SONDERZAHLUNG]]&lt;=ZahlungsZeitplan[[#This Row],[ANFANGSSALDO]],ZahlungsZeitplan[[#This Row],[ANFANGSSALDO]]-ZahlungsZeitplan[[#This Row],[KAPITAL]],0),"")</f>
        <v>113716.44630602769</v>
      </c>
      <c r="K54" s="195">
        <f ca="1">IF(ZahlungsZeitplan[[#This Row],['#]]&lt;&gt;"",SUM(INDEX(ZahlungsZeitplan[ZINSEN],1,1):ZahlungsZeitplan[[#This Row],[ZINSEN]]),"")</f>
        <v>6318.5714246710922</v>
      </c>
    </row>
    <row r="55" spans="2:11">
      <c r="B55" s="193">
        <f ca="1">IF(DarlehenIstGut,IF(ROW()-ROW(ZahlungsZeitplan[[#Headers],['#]])&gt;PlanmäßigeAnzahlZahlungen,"",ROW()-ROW(ZahlungsZeitplan[[#Headers],['#]])),"")</f>
        <v>42</v>
      </c>
      <c r="C55" s="194">
        <f ca="1">IF(ZahlungsZeitplan[[#This Row],['#]]&lt;&gt;"",EOMONTH(DarlehensAnfangsDatum,ROW(ZahlungsZeitplan[[#This Row],['#]])-ROW(ZahlungsZeitplan[[#Headers],['#]])-2)+DAY(DarlehensAnfangsDatum),"")</f>
        <v>46572</v>
      </c>
      <c r="D55" s="195">
        <f ca="1">IF(ZahlungsZeitplan[[#This Row],['#]]&lt;&gt;"",IF(ROW()-ROW(ZahlungsZeitplan[[#Headers],[ANFANGSSALDO]])=1,DarlehensBetrag,INDEX(ZahlungsZeitplan[ENDSALDO],ROW()-ROW(ZahlungsZeitplan[[#Headers],[ANFANGSSALDO]])-1)),"")</f>
        <v>113716.44630602769</v>
      </c>
      <c r="E55" s="195">
        <f ca="1">IF(ZahlungsZeitplan[[#This Row],['#]]&lt;&gt;"",PlanmäßigeZahlung,"")</f>
        <v>645.29573460105871</v>
      </c>
      <c r="F5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5" s="195">
        <f ca="1">IF(ZahlungsZeitplan[[#This Row],['#]]&lt;&gt;"",ZahlungsZeitplan[[#This Row],[GESAMTZAHLUNG]]-ZahlungsZeitplan[[#This Row],[ZINSEN]],"")</f>
        <v>504.09781377107436</v>
      </c>
      <c r="I55" s="195">
        <f ca="1">IF(ZahlungsZeitplan[[#This Row],['#]]&lt;=($D$8*12),IF(ZahlungsZeitplan[[#This Row],['#]]&lt;&gt;"",ZahlungsZeitplan[[#This Row],[ANFANGSSALDO]]*(ZinsSatz/ZahlungenProJahr),""),IF(ZahlungsZeitplan[[#This Row],['#]]&lt;&gt;"",ZahlungsZeitplan[[#This Row],[ANFANGSSALDO]]*((ZinsSatz+$D$9)/ZahlungenProJahr),""))</f>
        <v>141.19792082998438</v>
      </c>
      <c r="J55" s="195">
        <f ca="1">IF(ZahlungsZeitplan[[#This Row],['#]]&lt;&gt;"",IF(ZahlungsZeitplan[[#This Row],[Zahlungen (Plan)]]+ZahlungsZeitplan[[#This Row],[SONDERZAHLUNG]]&lt;=ZahlungsZeitplan[[#This Row],[ANFANGSSALDO]],ZahlungsZeitplan[[#This Row],[ANFANGSSALDO]]-ZahlungsZeitplan[[#This Row],[KAPITAL]],0),"")</f>
        <v>113212.34849225661</v>
      </c>
      <c r="K55" s="195">
        <f ca="1">IF(ZahlungsZeitplan[[#This Row],['#]]&lt;&gt;"",SUM(INDEX(ZahlungsZeitplan[ZINSEN],1,1):ZahlungsZeitplan[[#This Row],[ZINSEN]]),"")</f>
        <v>6459.7693455010767</v>
      </c>
    </row>
    <row r="56" spans="2:11">
      <c r="B56" s="193">
        <f ca="1">IF(DarlehenIstGut,IF(ROW()-ROW(ZahlungsZeitplan[[#Headers],['#]])&gt;PlanmäßigeAnzahlZahlungen,"",ROW()-ROW(ZahlungsZeitplan[[#Headers],['#]])),"")</f>
        <v>43</v>
      </c>
      <c r="C56" s="194">
        <f ca="1">IF(ZahlungsZeitplan[[#This Row],['#]]&lt;&gt;"",EOMONTH(DarlehensAnfangsDatum,ROW(ZahlungsZeitplan[[#This Row],['#]])-ROW(ZahlungsZeitplan[[#Headers],['#]])-2)+DAY(DarlehensAnfangsDatum),"")</f>
        <v>46603</v>
      </c>
      <c r="D56" s="195">
        <f ca="1">IF(ZahlungsZeitplan[[#This Row],['#]]&lt;&gt;"",IF(ROW()-ROW(ZahlungsZeitplan[[#Headers],[ANFANGSSALDO]])=1,DarlehensBetrag,INDEX(ZahlungsZeitplan[ENDSALDO],ROW()-ROW(ZahlungsZeitplan[[#Headers],[ANFANGSSALDO]])-1)),"")</f>
        <v>113212.34849225661</v>
      </c>
      <c r="E56" s="195">
        <f ca="1">IF(ZahlungsZeitplan[[#This Row],['#]]&lt;&gt;"",PlanmäßigeZahlung,"")</f>
        <v>645.29573460105871</v>
      </c>
      <c r="F5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6" s="195">
        <f ca="1">IF(ZahlungsZeitplan[[#This Row],['#]]&lt;&gt;"",ZahlungsZeitplan[[#This Row],[GESAMTZAHLUNG]]-ZahlungsZeitplan[[#This Row],[ZINSEN]],"")</f>
        <v>504.72373522317343</v>
      </c>
      <c r="I56" s="195">
        <f ca="1">IF(ZahlungsZeitplan[[#This Row],['#]]&lt;=($D$8*12),IF(ZahlungsZeitplan[[#This Row],['#]]&lt;&gt;"",ZahlungsZeitplan[[#This Row],[ANFANGSSALDO]]*(ZinsSatz/ZahlungenProJahr),""),IF(ZahlungsZeitplan[[#This Row],['#]]&lt;&gt;"",ZahlungsZeitplan[[#This Row],[ANFANGSSALDO]]*((ZinsSatz+$D$9)/ZahlungenProJahr),""))</f>
        <v>140.57199937788531</v>
      </c>
      <c r="J56" s="195">
        <f ca="1">IF(ZahlungsZeitplan[[#This Row],['#]]&lt;&gt;"",IF(ZahlungsZeitplan[[#This Row],[Zahlungen (Plan)]]+ZahlungsZeitplan[[#This Row],[SONDERZAHLUNG]]&lt;=ZahlungsZeitplan[[#This Row],[ANFANGSSALDO]],ZahlungsZeitplan[[#This Row],[ANFANGSSALDO]]-ZahlungsZeitplan[[#This Row],[KAPITAL]],0),"")</f>
        <v>112707.62475703344</v>
      </c>
      <c r="K56" s="195">
        <f ca="1">IF(ZahlungsZeitplan[[#This Row],['#]]&lt;&gt;"",SUM(INDEX(ZahlungsZeitplan[ZINSEN],1,1):ZahlungsZeitplan[[#This Row],[ZINSEN]]),"")</f>
        <v>6600.3413448789624</v>
      </c>
    </row>
    <row r="57" spans="2:11">
      <c r="B57" s="193">
        <f ca="1">IF(DarlehenIstGut,IF(ROW()-ROW(ZahlungsZeitplan[[#Headers],['#]])&gt;PlanmäßigeAnzahlZahlungen,"",ROW()-ROW(ZahlungsZeitplan[[#Headers],['#]])),"")</f>
        <v>44</v>
      </c>
      <c r="C57" s="194">
        <f ca="1">IF(ZahlungsZeitplan[[#This Row],['#]]&lt;&gt;"",EOMONTH(DarlehensAnfangsDatum,ROW(ZahlungsZeitplan[[#This Row],['#]])-ROW(ZahlungsZeitplan[[#Headers],['#]])-2)+DAY(DarlehensAnfangsDatum),"")</f>
        <v>46634</v>
      </c>
      <c r="D57" s="195">
        <f ca="1">IF(ZahlungsZeitplan[[#This Row],['#]]&lt;&gt;"",IF(ROW()-ROW(ZahlungsZeitplan[[#Headers],[ANFANGSSALDO]])=1,DarlehensBetrag,INDEX(ZahlungsZeitplan[ENDSALDO],ROW()-ROW(ZahlungsZeitplan[[#Headers],[ANFANGSSALDO]])-1)),"")</f>
        <v>112707.62475703344</v>
      </c>
      <c r="E57" s="195">
        <f ca="1">IF(ZahlungsZeitplan[[#This Row],['#]]&lt;&gt;"",PlanmäßigeZahlung,"")</f>
        <v>645.29573460105871</v>
      </c>
      <c r="F5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7" s="195">
        <f ca="1">IF(ZahlungsZeitplan[[#This Row],['#]]&lt;&gt;"",ZahlungsZeitplan[[#This Row],[GESAMTZAHLUNG]]-ZahlungsZeitplan[[#This Row],[ZINSEN]],"")</f>
        <v>505.35043386107554</v>
      </c>
      <c r="I57" s="195">
        <f ca="1">IF(ZahlungsZeitplan[[#This Row],['#]]&lt;=($D$8*12),IF(ZahlungsZeitplan[[#This Row],['#]]&lt;&gt;"",ZahlungsZeitplan[[#This Row],[ANFANGSSALDO]]*(ZinsSatz/ZahlungenProJahr),""),IF(ZahlungsZeitplan[[#This Row],['#]]&lt;&gt;"",ZahlungsZeitplan[[#This Row],[ANFANGSSALDO]]*((ZinsSatz+$D$9)/ZahlungenProJahr),""))</f>
        <v>139.9453007399832</v>
      </c>
      <c r="J57" s="195">
        <f ca="1">IF(ZahlungsZeitplan[[#This Row],['#]]&lt;&gt;"",IF(ZahlungsZeitplan[[#This Row],[Zahlungen (Plan)]]+ZahlungsZeitplan[[#This Row],[SONDERZAHLUNG]]&lt;=ZahlungsZeitplan[[#This Row],[ANFANGSSALDO]],ZahlungsZeitplan[[#This Row],[ANFANGSSALDO]]-ZahlungsZeitplan[[#This Row],[KAPITAL]],0),"")</f>
        <v>112202.27432317236</v>
      </c>
      <c r="K57" s="195">
        <f ca="1">IF(ZahlungsZeitplan[[#This Row],['#]]&lt;&gt;"",SUM(INDEX(ZahlungsZeitplan[ZINSEN],1,1):ZahlungsZeitplan[[#This Row],[ZINSEN]]),"")</f>
        <v>6740.2866456189458</v>
      </c>
    </row>
    <row r="58" spans="2:11">
      <c r="B58" s="193">
        <f ca="1">IF(DarlehenIstGut,IF(ROW()-ROW(ZahlungsZeitplan[[#Headers],['#]])&gt;PlanmäßigeAnzahlZahlungen,"",ROW()-ROW(ZahlungsZeitplan[[#Headers],['#]])),"")</f>
        <v>45</v>
      </c>
      <c r="C58" s="194">
        <f ca="1">IF(ZahlungsZeitplan[[#This Row],['#]]&lt;&gt;"",EOMONTH(DarlehensAnfangsDatum,ROW(ZahlungsZeitplan[[#This Row],['#]])-ROW(ZahlungsZeitplan[[#Headers],['#]])-2)+DAY(DarlehensAnfangsDatum),"")</f>
        <v>46664</v>
      </c>
      <c r="D58" s="195">
        <f ca="1">IF(ZahlungsZeitplan[[#This Row],['#]]&lt;&gt;"",IF(ROW()-ROW(ZahlungsZeitplan[[#Headers],[ANFANGSSALDO]])=1,DarlehensBetrag,INDEX(ZahlungsZeitplan[ENDSALDO],ROW()-ROW(ZahlungsZeitplan[[#Headers],[ANFANGSSALDO]])-1)),"")</f>
        <v>112202.27432317236</v>
      </c>
      <c r="E58" s="195">
        <f ca="1">IF(ZahlungsZeitplan[[#This Row],['#]]&lt;&gt;"",PlanmäßigeZahlung,"")</f>
        <v>645.29573460105871</v>
      </c>
      <c r="F5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8" s="195">
        <f ca="1">IF(ZahlungsZeitplan[[#This Row],['#]]&lt;&gt;"",ZahlungsZeitplan[[#This Row],[GESAMTZAHLUNG]]-ZahlungsZeitplan[[#This Row],[ZINSEN]],"")</f>
        <v>505.97791064978639</v>
      </c>
      <c r="I58" s="195">
        <f ca="1">IF(ZahlungsZeitplan[[#This Row],['#]]&lt;=($D$8*12),IF(ZahlungsZeitplan[[#This Row],['#]]&lt;&gt;"",ZahlungsZeitplan[[#This Row],[ANFANGSSALDO]]*(ZinsSatz/ZahlungenProJahr),""),IF(ZahlungsZeitplan[[#This Row],['#]]&lt;&gt;"",ZahlungsZeitplan[[#This Row],[ANFANGSSALDO]]*((ZinsSatz+$D$9)/ZahlungenProJahr),""))</f>
        <v>139.31782395127235</v>
      </c>
      <c r="J58" s="195">
        <f ca="1">IF(ZahlungsZeitplan[[#This Row],['#]]&lt;&gt;"",IF(ZahlungsZeitplan[[#This Row],[Zahlungen (Plan)]]+ZahlungsZeitplan[[#This Row],[SONDERZAHLUNG]]&lt;=ZahlungsZeitplan[[#This Row],[ANFANGSSALDO]],ZahlungsZeitplan[[#This Row],[ANFANGSSALDO]]-ZahlungsZeitplan[[#This Row],[KAPITAL]],0),"")</f>
        <v>111696.29641252257</v>
      </c>
      <c r="K58" s="195">
        <f ca="1">IF(ZahlungsZeitplan[[#This Row],['#]]&lt;&gt;"",SUM(INDEX(ZahlungsZeitplan[ZINSEN],1,1):ZahlungsZeitplan[[#This Row],[ZINSEN]]),"")</f>
        <v>6879.6044695702185</v>
      </c>
    </row>
    <row r="59" spans="2:11">
      <c r="B59" s="193">
        <f ca="1">IF(DarlehenIstGut,IF(ROW()-ROW(ZahlungsZeitplan[[#Headers],['#]])&gt;PlanmäßigeAnzahlZahlungen,"",ROW()-ROW(ZahlungsZeitplan[[#Headers],['#]])),"")</f>
        <v>46</v>
      </c>
      <c r="C59" s="194">
        <f ca="1">IF(ZahlungsZeitplan[[#This Row],['#]]&lt;&gt;"",EOMONTH(DarlehensAnfangsDatum,ROW(ZahlungsZeitplan[[#This Row],['#]])-ROW(ZahlungsZeitplan[[#Headers],['#]])-2)+DAY(DarlehensAnfangsDatum),"")</f>
        <v>46695</v>
      </c>
      <c r="D59" s="195">
        <f ca="1">IF(ZahlungsZeitplan[[#This Row],['#]]&lt;&gt;"",IF(ROW()-ROW(ZahlungsZeitplan[[#Headers],[ANFANGSSALDO]])=1,DarlehensBetrag,INDEX(ZahlungsZeitplan[ENDSALDO],ROW()-ROW(ZahlungsZeitplan[[#Headers],[ANFANGSSALDO]])-1)),"")</f>
        <v>111696.29641252257</v>
      </c>
      <c r="E59" s="195">
        <f ca="1">IF(ZahlungsZeitplan[[#This Row],['#]]&lt;&gt;"",PlanmäßigeZahlung,"")</f>
        <v>645.29573460105871</v>
      </c>
      <c r="F5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5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59" s="195">
        <f ca="1">IF(ZahlungsZeitplan[[#This Row],['#]]&lt;&gt;"",ZahlungsZeitplan[[#This Row],[GESAMTZAHLUNG]]-ZahlungsZeitplan[[#This Row],[ZINSEN]],"")</f>
        <v>506.60616655550984</v>
      </c>
      <c r="I59" s="195">
        <f ca="1">IF(ZahlungsZeitplan[[#This Row],['#]]&lt;=($D$8*12),IF(ZahlungsZeitplan[[#This Row],['#]]&lt;&gt;"",ZahlungsZeitplan[[#This Row],[ANFANGSSALDO]]*(ZinsSatz/ZahlungenProJahr),""),IF(ZahlungsZeitplan[[#This Row],['#]]&lt;&gt;"",ZahlungsZeitplan[[#This Row],[ANFANGSSALDO]]*((ZinsSatz+$D$9)/ZahlungenProJahr),""))</f>
        <v>138.68956804554887</v>
      </c>
      <c r="J59" s="195">
        <f ca="1">IF(ZahlungsZeitplan[[#This Row],['#]]&lt;&gt;"",IF(ZahlungsZeitplan[[#This Row],[Zahlungen (Plan)]]+ZahlungsZeitplan[[#This Row],[SONDERZAHLUNG]]&lt;=ZahlungsZeitplan[[#This Row],[ANFANGSSALDO]],ZahlungsZeitplan[[#This Row],[ANFANGSSALDO]]-ZahlungsZeitplan[[#This Row],[KAPITAL]],0),"")</f>
        <v>111189.69024596707</v>
      </c>
      <c r="K59" s="195">
        <f ca="1">IF(ZahlungsZeitplan[[#This Row],['#]]&lt;&gt;"",SUM(INDEX(ZahlungsZeitplan[ZINSEN],1,1):ZahlungsZeitplan[[#This Row],[ZINSEN]]),"")</f>
        <v>7018.2940376157676</v>
      </c>
    </row>
    <row r="60" spans="2:11">
      <c r="B60" s="193">
        <f ca="1">IF(DarlehenIstGut,IF(ROW()-ROW(ZahlungsZeitplan[[#Headers],['#]])&gt;PlanmäßigeAnzahlZahlungen,"",ROW()-ROW(ZahlungsZeitplan[[#Headers],['#]])),"")</f>
        <v>47</v>
      </c>
      <c r="C60" s="194">
        <f ca="1">IF(ZahlungsZeitplan[[#This Row],['#]]&lt;&gt;"",EOMONTH(DarlehensAnfangsDatum,ROW(ZahlungsZeitplan[[#This Row],['#]])-ROW(ZahlungsZeitplan[[#Headers],['#]])-2)+DAY(DarlehensAnfangsDatum),"")</f>
        <v>46725</v>
      </c>
      <c r="D60" s="195">
        <f ca="1">IF(ZahlungsZeitplan[[#This Row],['#]]&lt;&gt;"",IF(ROW()-ROW(ZahlungsZeitplan[[#Headers],[ANFANGSSALDO]])=1,DarlehensBetrag,INDEX(ZahlungsZeitplan[ENDSALDO],ROW()-ROW(ZahlungsZeitplan[[#Headers],[ANFANGSSALDO]])-1)),"")</f>
        <v>111189.69024596707</v>
      </c>
      <c r="E60" s="195">
        <f ca="1">IF(ZahlungsZeitplan[[#This Row],['#]]&lt;&gt;"",PlanmäßigeZahlung,"")</f>
        <v>645.29573460105871</v>
      </c>
      <c r="F6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0" s="195">
        <f ca="1">IF(ZahlungsZeitplan[[#This Row],['#]]&lt;&gt;"",ZahlungsZeitplan[[#This Row],[GESAMTZAHLUNG]]-ZahlungsZeitplan[[#This Row],[ZINSEN]],"")</f>
        <v>507.2352025456496</v>
      </c>
      <c r="I60" s="195">
        <f ca="1">IF(ZahlungsZeitplan[[#This Row],['#]]&lt;=($D$8*12),IF(ZahlungsZeitplan[[#This Row],['#]]&lt;&gt;"",ZahlungsZeitplan[[#This Row],[ANFANGSSALDO]]*(ZinsSatz/ZahlungenProJahr),""),IF(ZahlungsZeitplan[[#This Row],['#]]&lt;&gt;"",ZahlungsZeitplan[[#This Row],[ANFANGSSALDO]]*((ZinsSatz+$D$9)/ZahlungenProJahr),""))</f>
        <v>138.06053205540911</v>
      </c>
      <c r="J60" s="195">
        <f ca="1">IF(ZahlungsZeitplan[[#This Row],['#]]&lt;&gt;"",IF(ZahlungsZeitplan[[#This Row],[Zahlungen (Plan)]]+ZahlungsZeitplan[[#This Row],[SONDERZAHLUNG]]&lt;=ZahlungsZeitplan[[#This Row],[ANFANGSSALDO]],ZahlungsZeitplan[[#This Row],[ANFANGSSALDO]]-ZahlungsZeitplan[[#This Row],[KAPITAL]],0),"")</f>
        <v>110682.45504342142</v>
      </c>
      <c r="K60" s="195">
        <f ca="1">IF(ZahlungsZeitplan[[#This Row],['#]]&lt;&gt;"",SUM(INDEX(ZahlungsZeitplan[ZINSEN],1,1):ZahlungsZeitplan[[#This Row],[ZINSEN]]),"")</f>
        <v>7156.3545696711772</v>
      </c>
    </row>
    <row r="61" spans="2:11">
      <c r="B61" s="193">
        <f ca="1">IF(DarlehenIstGut,IF(ROW()-ROW(ZahlungsZeitplan[[#Headers],['#]])&gt;PlanmäßigeAnzahlZahlungen,"",ROW()-ROW(ZahlungsZeitplan[[#Headers],['#]])),"")</f>
        <v>48</v>
      </c>
      <c r="C61" s="194">
        <f ca="1">IF(ZahlungsZeitplan[[#This Row],['#]]&lt;&gt;"",EOMONTH(DarlehensAnfangsDatum,ROW(ZahlungsZeitplan[[#This Row],['#]])-ROW(ZahlungsZeitplan[[#Headers],['#]])-2)+DAY(DarlehensAnfangsDatum),"")</f>
        <v>46756</v>
      </c>
      <c r="D61" s="195">
        <f ca="1">IF(ZahlungsZeitplan[[#This Row],['#]]&lt;&gt;"",IF(ROW()-ROW(ZahlungsZeitplan[[#Headers],[ANFANGSSALDO]])=1,DarlehensBetrag,INDEX(ZahlungsZeitplan[ENDSALDO],ROW()-ROW(ZahlungsZeitplan[[#Headers],[ANFANGSSALDO]])-1)),"")</f>
        <v>110682.45504342142</v>
      </c>
      <c r="E61" s="195">
        <f ca="1">IF(ZahlungsZeitplan[[#This Row],['#]]&lt;&gt;"",PlanmäßigeZahlung,"")</f>
        <v>645.29573460105871</v>
      </c>
      <c r="F6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1" s="195">
        <f ca="1">IF(ZahlungsZeitplan[[#This Row],['#]]&lt;&gt;"",ZahlungsZeitplan[[#This Row],[GESAMTZAHLUNG]]-ZahlungsZeitplan[[#This Row],[ZINSEN]],"")</f>
        <v>507.86501958881047</v>
      </c>
      <c r="I61" s="195">
        <f ca="1">IF(ZahlungsZeitplan[[#This Row],['#]]&lt;=($D$8*12),IF(ZahlungsZeitplan[[#This Row],['#]]&lt;&gt;"",ZahlungsZeitplan[[#This Row],[ANFANGSSALDO]]*(ZinsSatz/ZahlungenProJahr),""),IF(ZahlungsZeitplan[[#This Row],['#]]&lt;&gt;"",ZahlungsZeitplan[[#This Row],[ANFANGSSALDO]]*((ZinsSatz+$D$9)/ZahlungenProJahr),""))</f>
        <v>137.43071501224827</v>
      </c>
      <c r="J61" s="195">
        <f ca="1">IF(ZahlungsZeitplan[[#This Row],['#]]&lt;&gt;"",IF(ZahlungsZeitplan[[#This Row],[Zahlungen (Plan)]]+ZahlungsZeitplan[[#This Row],[SONDERZAHLUNG]]&lt;=ZahlungsZeitplan[[#This Row],[ANFANGSSALDO]],ZahlungsZeitplan[[#This Row],[ANFANGSSALDO]]-ZahlungsZeitplan[[#This Row],[KAPITAL]],0),"")</f>
        <v>110174.59002383261</v>
      </c>
      <c r="K61" s="195">
        <f ca="1">IF(ZahlungsZeitplan[[#This Row],['#]]&lt;&gt;"",SUM(INDEX(ZahlungsZeitplan[ZINSEN],1,1):ZahlungsZeitplan[[#This Row],[ZINSEN]]),"")</f>
        <v>7293.7852846834257</v>
      </c>
    </row>
    <row r="62" spans="2:11">
      <c r="B62" s="193">
        <f ca="1">IF(DarlehenIstGut,IF(ROW()-ROW(ZahlungsZeitplan[[#Headers],['#]])&gt;PlanmäßigeAnzahlZahlungen,"",ROW()-ROW(ZahlungsZeitplan[[#Headers],['#]])),"")</f>
        <v>49</v>
      </c>
      <c r="C62" s="194">
        <f ca="1">IF(ZahlungsZeitplan[[#This Row],['#]]&lt;&gt;"",EOMONTH(DarlehensAnfangsDatum,ROW(ZahlungsZeitplan[[#This Row],['#]])-ROW(ZahlungsZeitplan[[#Headers],['#]])-2)+DAY(DarlehensAnfangsDatum),"")</f>
        <v>46787</v>
      </c>
      <c r="D62" s="195">
        <f ca="1">IF(ZahlungsZeitplan[[#This Row],['#]]&lt;&gt;"",IF(ROW()-ROW(ZahlungsZeitplan[[#Headers],[ANFANGSSALDO]])=1,DarlehensBetrag,INDEX(ZahlungsZeitplan[ENDSALDO],ROW()-ROW(ZahlungsZeitplan[[#Headers],[ANFANGSSALDO]])-1)),"")</f>
        <v>110174.59002383261</v>
      </c>
      <c r="E62" s="195">
        <f ca="1">IF(ZahlungsZeitplan[[#This Row],['#]]&lt;&gt;"",PlanmäßigeZahlung,"")</f>
        <v>645.29573460105871</v>
      </c>
      <c r="F6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2" s="195">
        <f ca="1">IF(ZahlungsZeitplan[[#This Row],['#]]&lt;&gt;"",ZahlungsZeitplan[[#This Row],[GESAMTZAHLUNG]]-ZahlungsZeitplan[[#This Row],[ZINSEN]],"")</f>
        <v>508.49561865479984</v>
      </c>
      <c r="I62" s="195">
        <f ca="1">IF(ZahlungsZeitplan[[#This Row],['#]]&lt;=($D$8*12),IF(ZahlungsZeitplan[[#This Row],['#]]&lt;&gt;"",ZahlungsZeitplan[[#This Row],[ANFANGSSALDO]]*(ZinsSatz/ZahlungenProJahr),""),IF(ZahlungsZeitplan[[#This Row],['#]]&lt;&gt;"",ZahlungsZeitplan[[#This Row],[ANFANGSSALDO]]*((ZinsSatz+$D$9)/ZahlungenProJahr),""))</f>
        <v>136.80011594625884</v>
      </c>
      <c r="J62" s="195">
        <f ca="1">IF(ZahlungsZeitplan[[#This Row],['#]]&lt;&gt;"",IF(ZahlungsZeitplan[[#This Row],[Zahlungen (Plan)]]+ZahlungsZeitplan[[#This Row],[SONDERZAHLUNG]]&lt;=ZahlungsZeitplan[[#This Row],[ANFANGSSALDO]],ZahlungsZeitplan[[#This Row],[ANFANGSSALDO]]-ZahlungsZeitplan[[#This Row],[KAPITAL]],0),"")</f>
        <v>109666.09440517782</v>
      </c>
      <c r="K62" s="195">
        <f ca="1">IF(ZahlungsZeitplan[[#This Row],['#]]&lt;&gt;"",SUM(INDEX(ZahlungsZeitplan[ZINSEN],1,1):ZahlungsZeitplan[[#This Row],[ZINSEN]]),"")</f>
        <v>7430.585400629685</v>
      </c>
    </row>
    <row r="63" spans="2:11">
      <c r="B63" s="193">
        <f ca="1">IF(DarlehenIstGut,IF(ROW()-ROW(ZahlungsZeitplan[[#Headers],['#]])&gt;PlanmäßigeAnzahlZahlungen,"",ROW()-ROW(ZahlungsZeitplan[[#Headers],['#]])),"")</f>
        <v>50</v>
      </c>
      <c r="C63" s="194">
        <f ca="1">IF(ZahlungsZeitplan[[#This Row],['#]]&lt;&gt;"",EOMONTH(DarlehensAnfangsDatum,ROW(ZahlungsZeitplan[[#This Row],['#]])-ROW(ZahlungsZeitplan[[#Headers],['#]])-2)+DAY(DarlehensAnfangsDatum),"")</f>
        <v>46816</v>
      </c>
      <c r="D63" s="195">
        <f ca="1">IF(ZahlungsZeitplan[[#This Row],['#]]&lt;&gt;"",IF(ROW()-ROW(ZahlungsZeitplan[[#Headers],[ANFANGSSALDO]])=1,DarlehensBetrag,INDEX(ZahlungsZeitplan[ENDSALDO],ROW()-ROW(ZahlungsZeitplan[[#Headers],[ANFANGSSALDO]])-1)),"")</f>
        <v>109666.09440517782</v>
      </c>
      <c r="E63" s="195">
        <f ca="1">IF(ZahlungsZeitplan[[#This Row],['#]]&lt;&gt;"",PlanmäßigeZahlung,"")</f>
        <v>645.29573460105871</v>
      </c>
      <c r="F6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3" s="195">
        <f ca="1">IF(ZahlungsZeitplan[[#This Row],['#]]&lt;&gt;"",ZahlungsZeitplan[[#This Row],[GESAMTZAHLUNG]]-ZahlungsZeitplan[[#This Row],[ZINSEN]],"")</f>
        <v>509.12700071462962</v>
      </c>
      <c r="I63" s="195">
        <f ca="1">IF(ZahlungsZeitplan[[#This Row],['#]]&lt;=($D$8*12),IF(ZahlungsZeitplan[[#This Row],['#]]&lt;&gt;"",ZahlungsZeitplan[[#This Row],[ANFANGSSALDO]]*(ZinsSatz/ZahlungenProJahr),""),IF(ZahlungsZeitplan[[#This Row],['#]]&lt;&gt;"",ZahlungsZeitplan[[#This Row],[ANFANGSSALDO]]*((ZinsSatz+$D$9)/ZahlungenProJahr),""))</f>
        <v>136.16873388642912</v>
      </c>
      <c r="J63" s="195">
        <f ca="1">IF(ZahlungsZeitplan[[#This Row],['#]]&lt;&gt;"",IF(ZahlungsZeitplan[[#This Row],[Zahlungen (Plan)]]+ZahlungsZeitplan[[#This Row],[SONDERZAHLUNG]]&lt;=ZahlungsZeitplan[[#This Row],[ANFANGSSALDO]],ZahlungsZeitplan[[#This Row],[ANFANGSSALDO]]-ZahlungsZeitplan[[#This Row],[KAPITAL]],0),"")</f>
        <v>109156.9674044632</v>
      </c>
      <c r="K63" s="195">
        <f ca="1">IF(ZahlungsZeitplan[[#This Row],['#]]&lt;&gt;"",SUM(INDEX(ZahlungsZeitplan[ZINSEN],1,1):ZahlungsZeitplan[[#This Row],[ZINSEN]]),"")</f>
        <v>7566.7541345161144</v>
      </c>
    </row>
    <row r="64" spans="2:11">
      <c r="B64" s="193">
        <f ca="1">IF(DarlehenIstGut,IF(ROW()-ROW(ZahlungsZeitplan[[#Headers],['#]])&gt;PlanmäßigeAnzahlZahlungen,"",ROW()-ROW(ZahlungsZeitplan[[#Headers],['#]])),"")</f>
        <v>51</v>
      </c>
      <c r="C64" s="194">
        <f ca="1">IF(ZahlungsZeitplan[[#This Row],['#]]&lt;&gt;"",EOMONTH(DarlehensAnfangsDatum,ROW(ZahlungsZeitplan[[#This Row],['#]])-ROW(ZahlungsZeitplan[[#Headers],['#]])-2)+DAY(DarlehensAnfangsDatum),"")</f>
        <v>46847</v>
      </c>
      <c r="D64" s="195">
        <f ca="1">IF(ZahlungsZeitplan[[#This Row],['#]]&lt;&gt;"",IF(ROW()-ROW(ZahlungsZeitplan[[#Headers],[ANFANGSSALDO]])=1,DarlehensBetrag,INDEX(ZahlungsZeitplan[ENDSALDO],ROW()-ROW(ZahlungsZeitplan[[#Headers],[ANFANGSSALDO]])-1)),"")</f>
        <v>109156.9674044632</v>
      </c>
      <c r="E64" s="195">
        <f ca="1">IF(ZahlungsZeitplan[[#This Row],['#]]&lt;&gt;"",PlanmäßigeZahlung,"")</f>
        <v>645.29573460105871</v>
      </c>
      <c r="F6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4" s="195">
        <f ca="1">IF(ZahlungsZeitplan[[#This Row],['#]]&lt;&gt;"",ZahlungsZeitplan[[#This Row],[GESAMTZAHLUNG]]-ZahlungsZeitplan[[#This Row],[ZINSEN]],"")</f>
        <v>509.75916674051689</v>
      </c>
      <c r="I64" s="195">
        <f ca="1">IF(ZahlungsZeitplan[[#This Row],['#]]&lt;=($D$8*12),IF(ZahlungsZeitplan[[#This Row],['#]]&lt;&gt;"",ZahlungsZeitplan[[#This Row],[ANFANGSSALDO]]*(ZinsSatz/ZahlungenProJahr),""),IF(ZahlungsZeitplan[[#This Row],['#]]&lt;&gt;"",ZahlungsZeitplan[[#This Row],[ANFANGSSALDO]]*((ZinsSatz+$D$9)/ZahlungenProJahr),""))</f>
        <v>135.53656786054182</v>
      </c>
      <c r="J64" s="195">
        <f ca="1">IF(ZahlungsZeitplan[[#This Row],['#]]&lt;&gt;"",IF(ZahlungsZeitplan[[#This Row],[Zahlungen (Plan)]]+ZahlungsZeitplan[[#This Row],[SONDERZAHLUNG]]&lt;=ZahlungsZeitplan[[#This Row],[ANFANGSSALDO]],ZahlungsZeitplan[[#This Row],[ANFANGSSALDO]]-ZahlungsZeitplan[[#This Row],[KAPITAL]],0),"")</f>
        <v>108647.20823772268</v>
      </c>
      <c r="K64" s="195">
        <f ca="1">IF(ZahlungsZeitplan[[#This Row],['#]]&lt;&gt;"",SUM(INDEX(ZahlungsZeitplan[ZINSEN],1,1):ZahlungsZeitplan[[#This Row],[ZINSEN]]),"")</f>
        <v>7702.2907023766566</v>
      </c>
    </row>
    <row r="65" spans="2:11">
      <c r="B65" s="193">
        <f ca="1">IF(DarlehenIstGut,IF(ROW()-ROW(ZahlungsZeitplan[[#Headers],['#]])&gt;PlanmäßigeAnzahlZahlungen,"",ROW()-ROW(ZahlungsZeitplan[[#Headers],['#]])),"")</f>
        <v>52</v>
      </c>
      <c r="C65" s="194">
        <f ca="1">IF(ZahlungsZeitplan[[#This Row],['#]]&lt;&gt;"",EOMONTH(DarlehensAnfangsDatum,ROW(ZahlungsZeitplan[[#This Row],['#]])-ROW(ZahlungsZeitplan[[#Headers],['#]])-2)+DAY(DarlehensAnfangsDatum),"")</f>
        <v>46877</v>
      </c>
      <c r="D65" s="195">
        <f ca="1">IF(ZahlungsZeitplan[[#This Row],['#]]&lt;&gt;"",IF(ROW()-ROW(ZahlungsZeitplan[[#Headers],[ANFANGSSALDO]])=1,DarlehensBetrag,INDEX(ZahlungsZeitplan[ENDSALDO],ROW()-ROW(ZahlungsZeitplan[[#Headers],[ANFANGSSALDO]])-1)),"")</f>
        <v>108647.20823772268</v>
      </c>
      <c r="E65" s="195">
        <f ca="1">IF(ZahlungsZeitplan[[#This Row],['#]]&lt;&gt;"",PlanmäßigeZahlung,"")</f>
        <v>645.29573460105871</v>
      </c>
      <c r="F6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5" s="195">
        <f ca="1">IF(ZahlungsZeitplan[[#This Row],['#]]&lt;&gt;"",ZahlungsZeitplan[[#This Row],[GESAMTZAHLUNG]]-ZahlungsZeitplan[[#This Row],[ZINSEN]],"")</f>
        <v>510.39211770588639</v>
      </c>
      <c r="I65" s="195">
        <f ca="1">IF(ZahlungsZeitplan[[#This Row],['#]]&lt;=($D$8*12),IF(ZahlungsZeitplan[[#This Row],['#]]&lt;&gt;"",ZahlungsZeitplan[[#This Row],[ANFANGSSALDO]]*(ZinsSatz/ZahlungenProJahr),""),IF(ZahlungsZeitplan[[#This Row],['#]]&lt;&gt;"",ZahlungsZeitplan[[#This Row],[ANFANGSSALDO]]*((ZinsSatz+$D$9)/ZahlungenProJahr),""))</f>
        <v>134.90361689517232</v>
      </c>
      <c r="J65" s="195">
        <f ca="1">IF(ZahlungsZeitplan[[#This Row],['#]]&lt;&gt;"",IF(ZahlungsZeitplan[[#This Row],[Zahlungen (Plan)]]+ZahlungsZeitplan[[#This Row],[SONDERZAHLUNG]]&lt;=ZahlungsZeitplan[[#This Row],[ANFANGSSALDO]],ZahlungsZeitplan[[#This Row],[ANFANGSSALDO]]-ZahlungsZeitplan[[#This Row],[KAPITAL]],0),"")</f>
        <v>108136.8161200168</v>
      </c>
      <c r="K65" s="195">
        <f ca="1">IF(ZahlungsZeitplan[[#This Row],['#]]&lt;&gt;"",SUM(INDEX(ZahlungsZeitplan[ZINSEN],1,1):ZahlungsZeitplan[[#This Row],[ZINSEN]]),"")</f>
        <v>7837.194319271829</v>
      </c>
    </row>
    <row r="66" spans="2:11">
      <c r="B66" s="193">
        <f ca="1">IF(DarlehenIstGut,IF(ROW()-ROW(ZahlungsZeitplan[[#Headers],['#]])&gt;PlanmäßigeAnzahlZahlungen,"",ROW()-ROW(ZahlungsZeitplan[[#Headers],['#]])),"")</f>
        <v>53</v>
      </c>
      <c r="C66" s="194">
        <f ca="1">IF(ZahlungsZeitplan[[#This Row],['#]]&lt;&gt;"",EOMONTH(DarlehensAnfangsDatum,ROW(ZahlungsZeitplan[[#This Row],['#]])-ROW(ZahlungsZeitplan[[#Headers],['#]])-2)+DAY(DarlehensAnfangsDatum),"")</f>
        <v>46908</v>
      </c>
      <c r="D66" s="195">
        <f ca="1">IF(ZahlungsZeitplan[[#This Row],['#]]&lt;&gt;"",IF(ROW()-ROW(ZahlungsZeitplan[[#Headers],[ANFANGSSALDO]])=1,DarlehensBetrag,INDEX(ZahlungsZeitplan[ENDSALDO],ROW()-ROW(ZahlungsZeitplan[[#Headers],[ANFANGSSALDO]])-1)),"")</f>
        <v>108136.8161200168</v>
      </c>
      <c r="E66" s="195">
        <f ca="1">IF(ZahlungsZeitplan[[#This Row],['#]]&lt;&gt;"",PlanmäßigeZahlung,"")</f>
        <v>645.29573460105871</v>
      </c>
      <c r="F6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6" s="195">
        <f ca="1">IF(ZahlungsZeitplan[[#This Row],['#]]&lt;&gt;"",ZahlungsZeitplan[[#This Row],[GESAMTZAHLUNG]]-ZahlungsZeitplan[[#This Row],[ZINSEN]],"")</f>
        <v>511.02585458537118</v>
      </c>
      <c r="I66" s="195">
        <f ca="1">IF(ZahlungsZeitplan[[#This Row],['#]]&lt;=($D$8*12),IF(ZahlungsZeitplan[[#This Row],['#]]&lt;&gt;"",ZahlungsZeitplan[[#This Row],[ANFANGSSALDO]]*(ZinsSatz/ZahlungenProJahr),""),IF(ZahlungsZeitplan[[#This Row],['#]]&lt;&gt;"",ZahlungsZeitplan[[#This Row],[ANFANGSSALDO]]*((ZinsSatz+$D$9)/ZahlungenProJahr),""))</f>
        <v>134.26988001568753</v>
      </c>
      <c r="J66" s="195">
        <f ca="1">IF(ZahlungsZeitplan[[#This Row],['#]]&lt;&gt;"",IF(ZahlungsZeitplan[[#This Row],[Zahlungen (Plan)]]+ZahlungsZeitplan[[#This Row],[SONDERZAHLUNG]]&lt;=ZahlungsZeitplan[[#This Row],[ANFANGSSALDO]],ZahlungsZeitplan[[#This Row],[ANFANGSSALDO]]-ZahlungsZeitplan[[#This Row],[KAPITAL]],0),"")</f>
        <v>107625.79026543142</v>
      </c>
      <c r="K66" s="195">
        <f ca="1">IF(ZahlungsZeitplan[[#This Row],['#]]&lt;&gt;"",SUM(INDEX(ZahlungsZeitplan[ZINSEN],1,1):ZahlungsZeitplan[[#This Row],[ZINSEN]]),"")</f>
        <v>7971.4641992875167</v>
      </c>
    </row>
    <row r="67" spans="2:11">
      <c r="B67" s="193">
        <f ca="1">IF(DarlehenIstGut,IF(ROW()-ROW(ZahlungsZeitplan[[#Headers],['#]])&gt;PlanmäßigeAnzahlZahlungen,"",ROW()-ROW(ZahlungsZeitplan[[#Headers],['#]])),"")</f>
        <v>54</v>
      </c>
      <c r="C67" s="194">
        <f ca="1">IF(ZahlungsZeitplan[[#This Row],['#]]&lt;&gt;"",EOMONTH(DarlehensAnfangsDatum,ROW(ZahlungsZeitplan[[#This Row],['#]])-ROW(ZahlungsZeitplan[[#Headers],['#]])-2)+DAY(DarlehensAnfangsDatum),"")</f>
        <v>46938</v>
      </c>
      <c r="D67" s="195">
        <f ca="1">IF(ZahlungsZeitplan[[#This Row],['#]]&lt;&gt;"",IF(ROW()-ROW(ZahlungsZeitplan[[#Headers],[ANFANGSSALDO]])=1,DarlehensBetrag,INDEX(ZahlungsZeitplan[ENDSALDO],ROW()-ROW(ZahlungsZeitplan[[#Headers],[ANFANGSSALDO]])-1)),"")</f>
        <v>107625.79026543142</v>
      </c>
      <c r="E67" s="195">
        <f ca="1">IF(ZahlungsZeitplan[[#This Row],['#]]&lt;&gt;"",PlanmäßigeZahlung,"")</f>
        <v>645.29573460105871</v>
      </c>
      <c r="F6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7" s="195">
        <f ca="1">IF(ZahlungsZeitplan[[#This Row],['#]]&lt;&gt;"",ZahlungsZeitplan[[#This Row],[GESAMTZAHLUNG]]-ZahlungsZeitplan[[#This Row],[ZINSEN]],"")</f>
        <v>511.66037835481472</v>
      </c>
      <c r="I67" s="195">
        <f ca="1">IF(ZahlungsZeitplan[[#This Row],['#]]&lt;=($D$8*12),IF(ZahlungsZeitplan[[#This Row],['#]]&lt;&gt;"",ZahlungsZeitplan[[#This Row],[ANFANGSSALDO]]*(ZinsSatz/ZahlungenProJahr),""),IF(ZahlungsZeitplan[[#This Row],['#]]&lt;&gt;"",ZahlungsZeitplan[[#This Row],[ANFANGSSALDO]]*((ZinsSatz+$D$9)/ZahlungenProJahr),""))</f>
        <v>133.63535624624402</v>
      </c>
      <c r="J67" s="195">
        <f ca="1">IF(ZahlungsZeitplan[[#This Row],['#]]&lt;&gt;"",IF(ZahlungsZeitplan[[#This Row],[Zahlungen (Plan)]]+ZahlungsZeitplan[[#This Row],[SONDERZAHLUNG]]&lt;=ZahlungsZeitplan[[#This Row],[ANFANGSSALDO]],ZahlungsZeitplan[[#This Row],[ANFANGSSALDO]]-ZahlungsZeitplan[[#This Row],[KAPITAL]],0),"")</f>
        <v>107114.1298870766</v>
      </c>
      <c r="K67" s="195">
        <f ca="1">IF(ZahlungsZeitplan[[#This Row],['#]]&lt;&gt;"",SUM(INDEX(ZahlungsZeitplan[ZINSEN],1,1):ZahlungsZeitplan[[#This Row],[ZINSEN]]),"")</f>
        <v>8105.0995555337604</v>
      </c>
    </row>
    <row r="68" spans="2:11">
      <c r="B68" s="193">
        <f ca="1">IF(DarlehenIstGut,IF(ROW()-ROW(ZahlungsZeitplan[[#Headers],['#]])&gt;PlanmäßigeAnzahlZahlungen,"",ROW()-ROW(ZahlungsZeitplan[[#Headers],['#]])),"")</f>
        <v>55</v>
      </c>
      <c r="C68" s="194">
        <f ca="1">IF(ZahlungsZeitplan[[#This Row],['#]]&lt;&gt;"",EOMONTH(DarlehensAnfangsDatum,ROW(ZahlungsZeitplan[[#This Row],['#]])-ROW(ZahlungsZeitplan[[#Headers],['#]])-2)+DAY(DarlehensAnfangsDatum),"")</f>
        <v>46969</v>
      </c>
      <c r="D68" s="195">
        <f ca="1">IF(ZahlungsZeitplan[[#This Row],['#]]&lt;&gt;"",IF(ROW()-ROW(ZahlungsZeitplan[[#Headers],[ANFANGSSALDO]])=1,DarlehensBetrag,INDEX(ZahlungsZeitplan[ENDSALDO],ROW()-ROW(ZahlungsZeitplan[[#Headers],[ANFANGSSALDO]])-1)),"")</f>
        <v>107114.1298870766</v>
      </c>
      <c r="E68" s="195">
        <f ca="1">IF(ZahlungsZeitplan[[#This Row],['#]]&lt;&gt;"",PlanmäßigeZahlung,"")</f>
        <v>645.29573460105871</v>
      </c>
      <c r="F6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8" s="195">
        <f ca="1">IF(ZahlungsZeitplan[[#This Row],['#]]&lt;&gt;"",ZahlungsZeitplan[[#This Row],[GESAMTZAHLUNG]]-ZahlungsZeitplan[[#This Row],[ZINSEN]],"")</f>
        <v>512.29568999127196</v>
      </c>
      <c r="I68" s="195">
        <f ca="1">IF(ZahlungsZeitplan[[#This Row],['#]]&lt;=($D$8*12),IF(ZahlungsZeitplan[[#This Row],['#]]&lt;&gt;"",ZahlungsZeitplan[[#This Row],[ANFANGSSALDO]]*(ZinsSatz/ZahlungenProJahr),""),IF(ZahlungsZeitplan[[#This Row],['#]]&lt;&gt;"",ZahlungsZeitplan[[#This Row],[ANFANGSSALDO]]*((ZinsSatz+$D$9)/ZahlungenProJahr),""))</f>
        <v>133.00004460978678</v>
      </c>
      <c r="J68" s="195">
        <f ca="1">IF(ZahlungsZeitplan[[#This Row],['#]]&lt;&gt;"",IF(ZahlungsZeitplan[[#This Row],[Zahlungen (Plan)]]+ZahlungsZeitplan[[#This Row],[SONDERZAHLUNG]]&lt;=ZahlungsZeitplan[[#This Row],[ANFANGSSALDO]],ZahlungsZeitplan[[#This Row],[ANFANGSSALDO]]-ZahlungsZeitplan[[#This Row],[KAPITAL]],0),"")</f>
        <v>106601.83419708534</v>
      </c>
      <c r="K68" s="195">
        <f ca="1">IF(ZahlungsZeitplan[[#This Row],['#]]&lt;&gt;"",SUM(INDEX(ZahlungsZeitplan[ZINSEN],1,1):ZahlungsZeitplan[[#This Row],[ZINSEN]]),"")</f>
        <v>8238.0996001435469</v>
      </c>
    </row>
    <row r="69" spans="2:11">
      <c r="B69" s="193">
        <f ca="1">IF(DarlehenIstGut,IF(ROW()-ROW(ZahlungsZeitplan[[#Headers],['#]])&gt;PlanmäßigeAnzahlZahlungen,"",ROW()-ROW(ZahlungsZeitplan[[#Headers],['#]])),"")</f>
        <v>56</v>
      </c>
      <c r="C69" s="194">
        <f ca="1">IF(ZahlungsZeitplan[[#This Row],['#]]&lt;&gt;"",EOMONTH(DarlehensAnfangsDatum,ROW(ZahlungsZeitplan[[#This Row],['#]])-ROW(ZahlungsZeitplan[[#Headers],['#]])-2)+DAY(DarlehensAnfangsDatum),"")</f>
        <v>47000</v>
      </c>
      <c r="D69" s="195">
        <f ca="1">IF(ZahlungsZeitplan[[#This Row],['#]]&lt;&gt;"",IF(ROW()-ROW(ZahlungsZeitplan[[#Headers],[ANFANGSSALDO]])=1,DarlehensBetrag,INDEX(ZahlungsZeitplan[ENDSALDO],ROW()-ROW(ZahlungsZeitplan[[#Headers],[ANFANGSSALDO]])-1)),"")</f>
        <v>106601.83419708534</v>
      </c>
      <c r="E69" s="195">
        <f ca="1">IF(ZahlungsZeitplan[[#This Row],['#]]&lt;&gt;"",PlanmäßigeZahlung,"")</f>
        <v>645.29573460105871</v>
      </c>
      <c r="F6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6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69" s="195">
        <f ca="1">IF(ZahlungsZeitplan[[#This Row],['#]]&lt;&gt;"",ZahlungsZeitplan[[#This Row],[GESAMTZAHLUNG]]-ZahlungsZeitplan[[#This Row],[ZINSEN]],"")</f>
        <v>512.93179047301112</v>
      </c>
      <c r="I69" s="195">
        <f ca="1">IF(ZahlungsZeitplan[[#This Row],['#]]&lt;=($D$8*12),IF(ZahlungsZeitplan[[#This Row],['#]]&lt;&gt;"",ZahlungsZeitplan[[#This Row],[ANFANGSSALDO]]*(ZinsSatz/ZahlungenProJahr),""),IF(ZahlungsZeitplan[[#This Row],['#]]&lt;&gt;"",ZahlungsZeitplan[[#This Row],[ANFANGSSALDO]]*((ZinsSatz+$D$9)/ZahlungenProJahr),""))</f>
        <v>132.36394412804762</v>
      </c>
      <c r="J69" s="195">
        <f ca="1">IF(ZahlungsZeitplan[[#This Row],['#]]&lt;&gt;"",IF(ZahlungsZeitplan[[#This Row],[Zahlungen (Plan)]]+ZahlungsZeitplan[[#This Row],[SONDERZAHLUNG]]&lt;=ZahlungsZeitplan[[#This Row],[ANFANGSSALDO]],ZahlungsZeitplan[[#This Row],[ANFANGSSALDO]]-ZahlungsZeitplan[[#This Row],[KAPITAL]],0),"")</f>
        <v>106088.90240661232</v>
      </c>
      <c r="K69" s="195">
        <f ca="1">IF(ZahlungsZeitplan[[#This Row],['#]]&lt;&gt;"",SUM(INDEX(ZahlungsZeitplan[ZINSEN],1,1):ZahlungsZeitplan[[#This Row],[ZINSEN]]),"")</f>
        <v>8370.4635442715953</v>
      </c>
    </row>
    <row r="70" spans="2:11">
      <c r="B70" s="193">
        <f ca="1">IF(DarlehenIstGut,IF(ROW()-ROW(ZahlungsZeitplan[[#Headers],['#]])&gt;PlanmäßigeAnzahlZahlungen,"",ROW()-ROW(ZahlungsZeitplan[[#Headers],['#]])),"")</f>
        <v>57</v>
      </c>
      <c r="C70" s="194">
        <f ca="1">IF(ZahlungsZeitplan[[#This Row],['#]]&lt;&gt;"",EOMONTH(DarlehensAnfangsDatum,ROW(ZahlungsZeitplan[[#This Row],['#]])-ROW(ZahlungsZeitplan[[#Headers],['#]])-2)+DAY(DarlehensAnfangsDatum),"")</f>
        <v>47030</v>
      </c>
      <c r="D70" s="195">
        <f ca="1">IF(ZahlungsZeitplan[[#This Row],['#]]&lt;&gt;"",IF(ROW()-ROW(ZahlungsZeitplan[[#Headers],[ANFANGSSALDO]])=1,DarlehensBetrag,INDEX(ZahlungsZeitplan[ENDSALDO],ROW()-ROW(ZahlungsZeitplan[[#Headers],[ANFANGSSALDO]])-1)),"")</f>
        <v>106088.90240661232</v>
      </c>
      <c r="E70" s="195">
        <f ca="1">IF(ZahlungsZeitplan[[#This Row],['#]]&lt;&gt;"",PlanmäßigeZahlung,"")</f>
        <v>645.29573460105871</v>
      </c>
      <c r="F7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0" s="195">
        <f ca="1">IF(ZahlungsZeitplan[[#This Row],['#]]&lt;&gt;"",ZahlungsZeitplan[[#This Row],[GESAMTZAHLUNG]]-ZahlungsZeitplan[[#This Row],[ZINSEN]],"")</f>
        <v>513.56868077951503</v>
      </c>
      <c r="I70" s="195">
        <f ca="1">IF(ZahlungsZeitplan[[#This Row],['#]]&lt;=($D$8*12),IF(ZahlungsZeitplan[[#This Row],['#]]&lt;&gt;"",ZahlungsZeitplan[[#This Row],[ANFANGSSALDO]]*(ZinsSatz/ZahlungenProJahr),""),IF(ZahlungsZeitplan[[#This Row],['#]]&lt;&gt;"",ZahlungsZeitplan[[#This Row],[ANFANGSSALDO]]*((ZinsSatz+$D$9)/ZahlungenProJahr),""))</f>
        <v>131.72705382154365</v>
      </c>
      <c r="J70" s="195">
        <f ca="1">IF(ZahlungsZeitplan[[#This Row],['#]]&lt;&gt;"",IF(ZahlungsZeitplan[[#This Row],[Zahlungen (Plan)]]+ZahlungsZeitplan[[#This Row],[SONDERZAHLUNG]]&lt;=ZahlungsZeitplan[[#This Row],[ANFANGSSALDO]],ZahlungsZeitplan[[#This Row],[ANFANGSSALDO]]-ZahlungsZeitplan[[#This Row],[KAPITAL]],0),"")</f>
        <v>105575.33372583281</v>
      </c>
      <c r="K70" s="195">
        <f ca="1">IF(ZahlungsZeitplan[[#This Row],['#]]&lt;&gt;"",SUM(INDEX(ZahlungsZeitplan[ZINSEN],1,1):ZahlungsZeitplan[[#This Row],[ZINSEN]]),"")</f>
        <v>8502.1905980931388</v>
      </c>
    </row>
    <row r="71" spans="2:11">
      <c r="B71" s="193">
        <f ca="1">IF(DarlehenIstGut,IF(ROW()-ROW(ZahlungsZeitplan[[#Headers],['#]])&gt;PlanmäßigeAnzahlZahlungen,"",ROW()-ROW(ZahlungsZeitplan[[#Headers],['#]])),"")</f>
        <v>58</v>
      </c>
      <c r="C71" s="194">
        <f ca="1">IF(ZahlungsZeitplan[[#This Row],['#]]&lt;&gt;"",EOMONTH(DarlehensAnfangsDatum,ROW(ZahlungsZeitplan[[#This Row],['#]])-ROW(ZahlungsZeitplan[[#Headers],['#]])-2)+DAY(DarlehensAnfangsDatum),"")</f>
        <v>47061</v>
      </c>
      <c r="D71" s="195">
        <f ca="1">IF(ZahlungsZeitplan[[#This Row],['#]]&lt;&gt;"",IF(ROW()-ROW(ZahlungsZeitplan[[#Headers],[ANFANGSSALDO]])=1,DarlehensBetrag,INDEX(ZahlungsZeitplan[ENDSALDO],ROW()-ROW(ZahlungsZeitplan[[#Headers],[ANFANGSSALDO]])-1)),"")</f>
        <v>105575.33372583281</v>
      </c>
      <c r="E71" s="195">
        <f ca="1">IF(ZahlungsZeitplan[[#This Row],['#]]&lt;&gt;"",PlanmäßigeZahlung,"")</f>
        <v>645.29573460105871</v>
      </c>
      <c r="F7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1" s="195">
        <f ca="1">IF(ZahlungsZeitplan[[#This Row],['#]]&lt;&gt;"",ZahlungsZeitplan[[#This Row],[GESAMTZAHLUNG]]-ZahlungsZeitplan[[#This Row],[ZINSEN]],"")</f>
        <v>514.20636189148297</v>
      </c>
      <c r="I71" s="195">
        <f ca="1">IF(ZahlungsZeitplan[[#This Row],['#]]&lt;=($D$8*12),IF(ZahlungsZeitplan[[#This Row],['#]]&lt;&gt;"",ZahlungsZeitplan[[#This Row],[ANFANGSSALDO]]*(ZinsSatz/ZahlungenProJahr),""),IF(ZahlungsZeitplan[[#This Row],['#]]&lt;&gt;"",ZahlungsZeitplan[[#This Row],[ANFANGSSALDO]]*((ZinsSatz+$D$9)/ZahlungenProJahr),""))</f>
        <v>131.08937270957574</v>
      </c>
      <c r="J71" s="195">
        <f ca="1">IF(ZahlungsZeitplan[[#This Row],['#]]&lt;&gt;"",IF(ZahlungsZeitplan[[#This Row],[Zahlungen (Plan)]]+ZahlungsZeitplan[[#This Row],[SONDERZAHLUNG]]&lt;=ZahlungsZeitplan[[#This Row],[ANFANGSSALDO]],ZahlungsZeitplan[[#This Row],[ANFANGSSALDO]]-ZahlungsZeitplan[[#This Row],[KAPITAL]],0),"")</f>
        <v>105061.12736394133</v>
      </c>
      <c r="K71" s="195">
        <f ca="1">IF(ZahlungsZeitplan[[#This Row],['#]]&lt;&gt;"",SUM(INDEX(ZahlungsZeitplan[ZINSEN],1,1):ZahlungsZeitplan[[#This Row],[ZINSEN]]),"")</f>
        <v>8633.2799708027142</v>
      </c>
    </row>
    <row r="72" spans="2:11">
      <c r="B72" s="193">
        <f ca="1">IF(DarlehenIstGut,IF(ROW()-ROW(ZahlungsZeitplan[[#Headers],['#]])&gt;PlanmäßigeAnzahlZahlungen,"",ROW()-ROW(ZahlungsZeitplan[[#Headers],['#]])),"")</f>
        <v>59</v>
      </c>
      <c r="C72" s="194">
        <f ca="1">IF(ZahlungsZeitplan[[#This Row],['#]]&lt;&gt;"",EOMONTH(DarlehensAnfangsDatum,ROW(ZahlungsZeitplan[[#This Row],['#]])-ROW(ZahlungsZeitplan[[#Headers],['#]])-2)+DAY(DarlehensAnfangsDatum),"")</f>
        <v>47091</v>
      </c>
      <c r="D72" s="195">
        <f ca="1">IF(ZahlungsZeitplan[[#This Row],['#]]&lt;&gt;"",IF(ROW()-ROW(ZahlungsZeitplan[[#Headers],[ANFANGSSALDO]])=1,DarlehensBetrag,INDEX(ZahlungsZeitplan[ENDSALDO],ROW()-ROW(ZahlungsZeitplan[[#Headers],[ANFANGSSALDO]])-1)),"")</f>
        <v>105061.12736394133</v>
      </c>
      <c r="E72" s="195">
        <f ca="1">IF(ZahlungsZeitplan[[#This Row],['#]]&lt;&gt;"",PlanmäßigeZahlung,"")</f>
        <v>645.29573460105871</v>
      </c>
      <c r="F7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2" s="195">
        <f ca="1">IF(ZahlungsZeitplan[[#This Row],['#]]&lt;&gt;"",ZahlungsZeitplan[[#This Row],[GESAMTZAHLUNG]]-ZahlungsZeitplan[[#This Row],[ZINSEN]],"")</f>
        <v>514.84483479083156</v>
      </c>
      <c r="I72" s="195">
        <f ca="1">IF(ZahlungsZeitplan[[#This Row],['#]]&lt;=($D$8*12),IF(ZahlungsZeitplan[[#This Row],['#]]&lt;&gt;"",ZahlungsZeitplan[[#This Row],[ANFANGSSALDO]]*(ZinsSatz/ZahlungenProJahr),""),IF(ZahlungsZeitplan[[#This Row],['#]]&lt;&gt;"",ZahlungsZeitplan[[#This Row],[ANFANGSSALDO]]*((ZinsSatz+$D$9)/ZahlungenProJahr),""))</f>
        <v>130.45089981022716</v>
      </c>
      <c r="J72" s="195">
        <f ca="1">IF(ZahlungsZeitplan[[#This Row],['#]]&lt;&gt;"",IF(ZahlungsZeitplan[[#This Row],[Zahlungen (Plan)]]+ZahlungsZeitplan[[#This Row],[SONDERZAHLUNG]]&lt;=ZahlungsZeitplan[[#This Row],[ANFANGSSALDO]],ZahlungsZeitplan[[#This Row],[ANFANGSSALDO]]-ZahlungsZeitplan[[#This Row],[KAPITAL]],0),"")</f>
        <v>104546.2825291505</v>
      </c>
      <c r="K72" s="195">
        <f ca="1">IF(ZahlungsZeitplan[[#This Row],['#]]&lt;&gt;"",SUM(INDEX(ZahlungsZeitplan[ZINSEN],1,1):ZahlungsZeitplan[[#This Row],[ZINSEN]]),"")</f>
        <v>8763.7308706129406</v>
      </c>
    </row>
    <row r="73" spans="2:11">
      <c r="B73" s="193">
        <f ca="1">IF(DarlehenIstGut,IF(ROW()-ROW(ZahlungsZeitplan[[#Headers],['#]])&gt;PlanmäßigeAnzahlZahlungen,"",ROW()-ROW(ZahlungsZeitplan[[#Headers],['#]])),"")</f>
        <v>60</v>
      </c>
      <c r="C73" s="194">
        <f ca="1">IF(ZahlungsZeitplan[[#This Row],['#]]&lt;&gt;"",EOMONTH(DarlehensAnfangsDatum,ROW(ZahlungsZeitplan[[#This Row],['#]])-ROW(ZahlungsZeitplan[[#Headers],['#]])-2)+DAY(DarlehensAnfangsDatum),"")</f>
        <v>47122</v>
      </c>
      <c r="D73" s="195">
        <f ca="1">IF(ZahlungsZeitplan[[#This Row],['#]]&lt;&gt;"",IF(ROW()-ROW(ZahlungsZeitplan[[#Headers],[ANFANGSSALDO]])=1,DarlehensBetrag,INDEX(ZahlungsZeitplan[ENDSALDO],ROW()-ROW(ZahlungsZeitplan[[#Headers],[ANFANGSSALDO]])-1)),"")</f>
        <v>104546.2825291505</v>
      </c>
      <c r="E73" s="195">
        <f ca="1">IF(ZahlungsZeitplan[[#This Row],['#]]&lt;&gt;"",PlanmäßigeZahlung,"")</f>
        <v>645.29573460105871</v>
      </c>
      <c r="F7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3" s="195">
        <f ca="1">IF(ZahlungsZeitplan[[#This Row],['#]]&lt;&gt;"",ZahlungsZeitplan[[#This Row],[GESAMTZAHLUNG]]-ZahlungsZeitplan[[#This Row],[ZINSEN]],"")</f>
        <v>515.48410046069682</v>
      </c>
      <c r="I73" s="195">
        <f ca="1">IF(ZahlungsZeitplan[[#This Row],['#]]&lt;=($D$8*12),IF(ZahlungsZeitplan[[#This Row],['#]]&lt;&gt;"",ZahlungsZeitplan[[#This Row],[ANFANGSSALDO]]*(ZinsSatz/ZahlungenProJahr),""),IF(ZahlungsZeitplan[[#This Row],['#]]&lt;&gt;"",ZahlungsZeitplan[[#This Row],[ANFANGSSALDO]]*((ZinsSatz+$D$9)/ZahlungenProJahr),""))</f>
        <v>129.81163414036189</v>
      </c>
      <c r="J73" s="195">
        <f ca="1">IF(ZahlungsZeitplan[[#This Row],['#]]&lt;&gt;"",IF(ZahlungsZeitplan[[#This Row],[Zahlungen (Plan)]]+ZahlungsZeitplan[[#This Row],[SONDERZAHLUNG]]&lt;=ZahlungsZeitplan[[#This Row],[ANFANGSSALDO]],ZahlungsZeitplan[[#This Row],[ANFANGSSALDO]]-ZahlungsZeitplan[[#This Row],[KAPITAL]],0),"")</f>
        <v>104030.7984286898</v>
      </c>
      <c r="K73" s="195">
        <f ca="1">IF(ZahlungsZeitplan[[#This Row],['#]]&lt;&gt;"",SUM(INDEX(ZahlungsZeitplan[ZINSEN],1,1):ZahlungsZeitplan[[#This Row],[ZINSEN]]),"")</f>
        <v>8893.5425047533026</v>
      </c>
    </row>
    <row r="74" spans="2:11">
      <c r="B74" s="193">
        <f ca="1">IF(DarlehenIstGut,IF(ROW()-ROW(ZahlungsZeitplan[[#Headers],['#]])&gt;PlanmäßigeAnzahlZahlungen,"",ROW()-ROW(ZahlungsZeitplan[[#Headers],['#]])),"")</f>
        <v>61</v>
      </c>
      <c r="C74" s="194">
        <f ca="1">IF(ZahlungsZeitplan[[#This Row],['#]]&lt;&gt;"",EOMONTH(DarlehensAnfangsDatum,ROW(ZahlungsZeitplan[[#This Row],['#]])-ROW(ZahlungsZeitplan[[#Headers],['#]])-2)+DAY(DarlehensAnfangsDatum),"")</f>
        <v>47153</v>
      </c>
      <c r="D74" s="195">
        <f ca="1">IF(ZahlungsZeitplan[[#This Row],['#]]&lt;&gt;"",IF(ROW()-ROW(ZahlungsZeitplan[[#Headers],[ANFANGSSALDO]])=1,DarlehensBetrag,INDEX(ZahlungsZeitplan[ENDSALDO],ROW()-ROW(ZahlungsZeitplan[[#Headers],[ANFANGSSALDO]])-1)),"")</f>
        <v>104030.7984286898</v>
      </c>
      <c r="E74" s="195">
        <f ca="1">IF(ZahlungsZeitplan[[#This Row],['#]]&lt;&gt;"",PlanmäßigeZahlung,"")</f>
        <v>645.29573460105871</v>
      </c>
      <c r="F7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4" s="195">
        <f ca="1">IF(ZahlungsZeitplan[[#This Row],['#]]&lt;&gt;"",ZahlungsZeitplan[[#This Row],[GESAMTZAHLUNG]]-ZahlungsZeitplan[[#This Row],[ZINSEN]],"")</f>
        <v>516.12415988543557</v>
      </c>
      <c r="I74" s="195">
        <f ca="1">IF(ZahlungsZeitplan[[#This Row],['#]]&lt;=($D$8*12),IF(ZahlungsZeitplan[[#This Row],['#]]&lt;&gt;"",ZahlungsZeitplan[[#This Row],[ANFANGSSALDO]]*(ZinsSatz/ZahlungenProJahr),""),IF(ZahlungsZeitplan[[#This Row],['#]]&lt;&gt;"",ZahlungsZeitplan[[#This Row],[ANFANGSSALDO]]*((ZinsSatz+$D$9)/ZahlungenProJahr),""))</f>
        <v>129.17157471562317</v>
      </c>
      <c r="J74" s="195">
        <f ca="1">IF(ZahlungsZeitplan[[#This Row],['#]]&lt;&gt;"",IF(ZahlungsZeitplan[[#This Row],[Zahlungen (Plan)]]+ZahlungsZeitplan[[#This Row],[SONDERZAHLUNG]]&lt;=ZahlungsZeitplan[[#This Row],[ANFANGSSALDO]],ZahlungsZeitplan[[#This Row],[ANFANGSSALDO]]-ZahlungsZeitplan[[#This Row],[KAPITAL]],0),"")</f>
        <v>103514.67426880436</v>
      </c>
      <c r="K74" s="195">
        <f ca="1">IF(ZahlungsZeitplan[[#This Row],['#]]&lt;&gt;"",SUM(INDEX(ZahlungsZeitplan[ZINSEN],1,1):ZahlungsZeitplan[[#This Row],[ZINSEN]]),"")</f>
        <v>9022.7140794689258</v>
      </c>
    </row>
    <row r="75" spans="2:11">
      <c r="B75" s="193">
        <f ca="1">IF(DarlehenIstGut,IF(ROW()-ROW(ZahlungsZeitplan[[#Headers],['#]])&gt;PlanmäßigeAnzahlZahlungen,"",ROW()-ROW(ZahlungsZeitplan[[#Headers],['#]])),"")</f>
        <v>62</v>
      </c>
      <c r="C75" s="194">
        <f ca="1">IF(ZahlungsZeitplan[[#This Row],['#]]&lt;&gt;"",EOMONTH(DarlehensAnfangsDatum,ROW(ZahlungsZeitplan[[#This Row],['#]])-ROW(ZahlungsZeitplan[[#Headers],['#]])-2)+DAY(DarlehensAnfangsDatum),"")</f>
        <v>47181</v>
      </c>
      <c r="D75" s="195">
        <f ca="1">IF(ZahlungsZeitplan[[#This Row],['#]]&lt;&gt;"",IF(ROW()-ROW(ZahlungsZeitplan[[#Headers],[ANFANGSSALDO]])=1,DarlehensBetrag,INDEX(ZahlungsZeitplan[ENDSALDO],ROW()-ROW(ZahlungsZeitplan[[#Headers],[ANFANGSSALDO]])-1)),"")</f>
        <v>103514.67426880436</v>
      </c>
      <c r="E75" s="195">
        <f ca="1">IF(ZahlungsZeitplan[[#This Row],['#]]&lt;&gt;"",PlanmäßigeZahlung,"")</f>
        <v>645.29573460105871</v>
      </c>
      <c r="F7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5" s="195">
        <f ca="1">IF(ZahlungsZeitplan[[#This Row],['#]]&lt;&gt;"",ZahlungsZeitplan[[#This Row],[GESAMTZAHLUNG]]-ZahlungsZeitplan[[#This Row],[ZINSEN]],"")</f>
        <v>516.76501405062663</v>
      </c>
      <c r="I75" s="195">
        <f ca="1">IF(ZahlungsZeitplan[[#This Row],['#]]&lt;=($D$8*12),IF(ZahlungsZeitplan[[#This Row],['#]]&lt;&gt;"",ZahlungsZeitplan[[#This Row],[ANFANGSSALDO]]*(ZinsSatz/ZahlungenProJahr),""),IF(ZahlungsZeitplan[[#This Row],['#]]&lt;&gt;"",ZahlungsZeitplan[[#This Row],[ANFANGSSALDO]]*((ZinsSatz+$D$9)/ZahlungenProJahr),""))</f>
        <v>128.53072055043208</v>
      </c>
      <c r="J75" s="195">
        <f ca="1">IF(ZahlungsZeitplan[[#This Row],['#]]&lt;&gt;"",IF(ZahlungsZeitplan[[#This Row],[Zahlungen (Plan)]]+ZahlungsZeitplan[[#This Row],[SONDERZAHLUNG]]&lt;=ZahlungsZeitplan[[#This Row],[ANFANGSSALDO]],ZahlungsZeitplan[[#This Row],[ANFANGSSALDO]]-ZahlungsZeitplan[[#This Row],[KAPITAL]],0),"")</f>
        <v>102997.90925475373</v>
      </c>
      <c r="K75" s="195">
        <f ca="1">IF(ZahlungsZeitplan[[#This Row],['#]]&lt;&gt;"",SUM(INDEX(ZahlungsZeitplan[ZINSEN],1,1):ZahlungsZeitplan[[#This Row],[ZINSEN]]),"")</f>
        <v>9151.2448000193581</v>
      </c>
    </row>
    <row r="76" spans="2:11">
      <c r="B76" s="193">
        <f ca="1">IF(DarlehenIstGut,IF(ROW()-ROW(ZahlungsZeitplan[[#Headers],['#]])&gt;PlanmäßigeAnzahlZahlungen,"",ROW()-ROW(ZahlungsZeitplan[[#Headers],['#]])),"")</f>
        <v>63</v>
      </c>
      <c r="C76" s="194">
        <f ca="1">IF(ZahlungsZeitplan[[#This Row],['#]]&lt;&gt;"",EOMONTH(DarlehensAnfangsDatum,ROW(ZahlungsZeitplan[[#This Row],['#]])-ROW(ZahlungsZeitplan[[#Headers],['#]])-2)+DAY(DarlehensAnfangsDatum),"")</f>
        <v>47212</v>
      </c>
      <c r="D76" s="195">
        <f ca="1">IF(ZahlungsZeitplan[[#This Row],['#]]&lt;&gt;"",IF(ROW()-ROW(ZahlungsZeitplan[[#Headers],[ANFANGSSALDO]])=1,DarlehensBetrag,INDEX(ZahlungsZeitplan[ENDSALDO],ROW()-ROW(ZahlungsZeitplan[[#Headers],[ANFANGSSALDO]])-1)),"")</f>
        <v>102997.90925475373</v>
      </c>
      <c r="E76" s="195">
        <f ca="1">IF(ZahlungsZeitplan[[#This Row],['#]]&lt;&gt;"",PlanmäßigeZahlung,"")</f>
        <v>645.29573460105871</v>
      </c>
      <c r="F7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6" s="195">
        <f ca="1">IF(ZahlungsZeitplan[[#This Row],['#]]&lt;&gt;"",ZahlungsZeitplan[[#This Row],[GESAMTZAHLUNG]]-ZahlungsZeitplan[[#This Row],[ZINSEN]],"")</f>
        <v>517.40666394307277</v>
      </c>
      <c r="I76" s="195">
        <f ca="1">IF(ZahlungsZeitplan[[#This Row],['#]]&lt;=($D$8*12),IF(ZahlungsZeitplan[[#This Row],['#]]&lt;&gt;"",ZahlungsZeitplan[[#This Row],[ANFANGSSALDO]]*(ZinsSatz/ZahlungenProJahr),""),IF(ZahlungsZeitplan[[#This Row],['#]]&lt;&gt;"",ZahlungsZeitplan[[#This Row],[ANFANGSSALDO]]*((ZinsSatz+$D$9)/ZahlungenProJahr),""))</f>
        <v>127.88907065798588</v>
      </c>
      <c r="J76" s="195">
        <f ca="1">IF(ZahlungsZeitplan[[#This Row],['#]]&lt;&gt;"",IF(ZahlungsZeitplan[[#This Row],[Zahlungen (Plan)]]+ZahlungsZeitplan[[#This Row],[SONDERZAHLUNG]]&lt;=ZahlungsZeitplan[[#This Row],[ANFANGSSALDO]],ZahlungsZeitplan[[#This Row],[ANFANGSSALDO]]-ZahlungsZeitplan[[#This Row],[KAPITAL]],0),"")</f>
        <v>102480.50259081066</v>
      </c>
      <c r="K76" s="195">
        <f ca="1">IF(ZahlungsZeitplan[[#This Row],['#]]&lt;&gt;"",SUM(INDEX(ZahlungsZeitplan[ZINSEN],1,1):ZahlungsZeitplan[[#This Row],[ZINSEN]]),"")</f>
        <v>9279.133870677344</v>
      </c>
    </row>
    <row r="77" spans="2:11">
      <c r="B77" s="193">
        <f ca="1">IF(DarlehenIstGut,IF(ROW()-ROW(ZahlungsZeitplan[[#Headers],['#]])&gt;PlanmäßigeAnzahlZahlungen,"",ROW()-ROW(ZahlungsZeitplan[[#Headers],['#]])),"")</f>
        <v>64</v>
      </c>
      <c r="C77" s="194">
        <f ca="1">IF(ZahlungsZeitplan[[#This Row],['#]]&lt;&gt;"",EOMONTH(DarlehensAnfangsDatum,ROW(ZahlungsZeitplan[[#This Row],['#]])-ROW(ZahlungsZeitplan[[#Headers],['#]])-2)+DAY(DarlehensAnfangsDatum),"")</f>
        <v>47242</v>
      </c>
      <c r="D77" s="195">
        <f ca="1">IF(ZahlungsZeitplan[[#This Row],['#]]&lt;&gt;"",IF(ROW()-ROW(ZahlungsZeitplan[[#Headers],[ANFANGSSALDO]])=1,DarlehensBetrag,INDEX(ZahlungsZeitplan[ENDSALDO],ROW()-ROW(ZahlungsZeitplan[[#Headers],[ANFANGSSALDO]])-1)),"")</f>
        <v>102480.50259081066</v>
      </c>
      <c r="E77" s="195">
        <f ca="1">IF(ZahlungsZeitplan[[#This Row],['#]]&lt;&gt;"",PlanmäßigeZahlung,"")</f>
        <v>645.29573460105871</v>
      </c>
      <c r="F7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7" s="195">
        <f ca="1">IF(ZahlungsZeitplan[[#This Row],['#]]&lt;&gt;"",ZahlungsZeitplan[[#This Row],[GESAMTZAHLUNG]]-ZahlungsZeitplan[[#This Row],[ZINSEN]],"")</f>
        <v>518.04911055080208</v>
      </c>
      <c r="I77" s="195">
        <f ca="1">IF(ZahlungsZeitplan[[#This Row],['#]]&lt;=($D$8*12),IF(ZahlungsZeitplan[[#This Row],['#]]&lt;&gt;"",ZahlungsZeitplan[[#This Row],[ANFANGSSALDO]]*(ZinsSatz/ZahlungenProJahr),""),IF(ZahlungsZeitplan[[#This Row],['#]]&lt;&gt;"",ZahlungsZeitplan[[#This Row],[ANFANGSSALDO]]*((ZinsSatz+$D$9)/ZahlungenProJahr),""))</f>
        <v>127.24662405025659</v>
      </c>
      <c r="J77" s="195">
        <f ca="1">IF(ZahlungsZeitplan[[#This Row],['#]]&lt;&gt;"",IF(ZahlungsZeitplan[[#This Row],[Zahlungen (Plan)]]+ZahlungsZeitplan[[#This Row],[SONDERZAHLUNG]]&lt;=ZahlungsZeitplan[[#This Row],[ANFANGSSALDO]],ZahlungsZeitplan[[#This Row],[ANFANGSSALDO]]-ZahlungsZeitplan[[#This Row],[KAPITAL]],0),"")</f>
        <v>101962.45348025986</v>
      </c>
      <c r="K77" s="195">
        <f ca="1">IF(ZahlungsZeitplan[[#This Row],['#]]&lt;&gt;"",SUM(INDEX(ZahlungsZeitplan[ZINSEN],1,1):ZahlungsZeitplan[[#This Row],[ZINSEN]]),"")</f>
        <v>9406.3804947276003</v>
      </c>
    </row>
    <row r="78" spans="2:11">
      <c r="B78" s="193">
        <f ca="1">IF(DarlehenIstGut,IF(ROW()-ROW(ZahlungsZeitplan[[#Headers],['#]])&gt;PlanmäßigeAnzahlZahlungen,"",ROW()-ROW(ZahlungsZeitplan[[#Headers],['#]])),"")</f>
        <v>65</v>
      </c>
      <c r="C78" s="194">
        <f ca="1">IF(ZahlungsZeitplan[[#This Row],['#]]&lt;&gt;"",EOMONTH(DarlehensAnfangsDatum,ROW(ZahlungsZeitplan[[#This Row],['#]])-ROW(ZahlungsZeitplan[[#Headers],['#]])-2)+DAY(DarlehensAnfangsDatum),"")</f>
        <v>47273</v>
      </c>
      <c r="D78" s="195">
        <f ca="1">IF(ZahlungsZeitplan[[#This Row],['#]]&lt;&gt;"",IF(ROW()-ROW(ZahlungsZeitplan[[#Headers],[ANFANGSSALDO]])=1,DarlehensBetrag,INDEX(ZahlungsZeitplan[ENDSALDO],ROW()-ROW(ZahlungsZeitplan[[#Headers],[ANFANGSSALDO]])-1)),"")</f>
        <v>101962.45348025986</v>
      </c>
      <c r="E78" s="195">
        <f ca="1">IF(ZahlungsZeitplan[[#This Row],['#]]&lt;&gt;"",PlanmäßigeZahlung,"")</f>
        <v>645.29573460105871</v>
      </c>
      <c r="F7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8" s="195">
        <f ca="1">IF(ZahlungsZeitplan[[#This Row],['#]]&lt;&gt;"",ZahlungsZeitplan[[#This Row],[GESAMTZAHLUNG]]-ZahlungsZeitplan[[#This Row],[ZINSEN]],"")</f>
        <v>518.69235486306934</v>
      </c>
      <c r="I78" s="195">
        <f ca="1">IF(ZahlungsZeitplan[[#This Row],['#]]&lt;=($D$8*12),IF(ZahlungsZeitplan[[#This Row],['#]]&lt;&gt;"",ZahlungsZeitplan[[#This Row],[ANFANGSSALDO]]*(ZinsSatz/ZahlungenProJahr),""),IF(ZahlungsZeitplan[[#This Row],['#]]&lt;&gt;"",ZahlungsZeitplan[[#This Row],[ANFANGSSALDO]]*((ZinsSatz+$D$9)/ZahlungenProJahr),""))</f>
        <v>126.60337973798934</v>
      </c>
      <c r="J78" s="195">
        <f ca="1">IF(ZahlungsZeitplan[[#This Row],['#]]&lt;&gt;"",IF(ZahlungsZeitplan[[#This Row],[Zahlungen (Plan)]]+ZahlungsZeitplan[[#This Row],[SONDERZAHLUNG]]&lt;=ZahlungsZeitplan[[#This Row],[ANFANGSSALDO]],ZahlungsZeitplan[[#This Row],[ANFANGSSALDO]]-ZahlungsZeitplan[[#This Row],[KAPITAL]],0),"")</f>
        <v>101443.76112539679</v>
      </c>
      <c r="K78" s="195">
        <f ca="1">IF(ZahlungsZeitplan[[#This Row],['#]]&lt;&gt;"",SUM(INDEX(ZahlungsZeitplan[ZINSEN],1,1):ZahlungsZeitplan[[#This Row],[ZINSEN]]),"")</f>
        <v>9532.9838744655899</v>
      </c>
    </row>
    <row r="79" spans="2:11">
      <c r="B79" s="193">
        <f ca="1">IF(DarlehenIstGut,IF(ROW()-ROW(ZahlungsZeitplan[[#Headers],['#]])&gt;PlanmäßigeAnzahlZahlungen,"",ROW()-ROW(ZahlungsZeitplan[[#Headers],['#]])),"")</f>
        <v>66</v>
      </c>
      <c r="C79" s="194">
        <f ca="1">IF(ZahlungsZeitplan[[#This Row],['#]]&lt;&gt;"",EOMONTH(DarlehensAnfangsDatum,ROW(ZahlungsZeitplan[[#This Row],['#]])-ROW(ZahlungsZeitplan[[#Headers],['#]])-2)+DAY(DarlehensAnfangsDatum),"")</f>
        <v>47303</v>
      </c>
      <c r="D79" s="195">
        <f ca="1">IF(ZahlungsZeitplan[[#This Row],['#]]&lt;&gt;"",IF(ROW()-ROW(ZahlungsZeitplan[[#Headers],[ANFANGSSALDO]])=1,DarlehensBetrag,INDEX(ZahlungsZeitplan[ENDSALDO],ROW()-ROW(ZahlungsZeitplan[[#Headers],[ANFANGSSALDO]])-1)),"")</f>
        <v>101443.76112539679</v>
      </c>
      <c r="E79" s="195">
        <f ca="1">IF(ZahlungsZeitplan[[#This Row],['#]]&lt;&gt;"",PlanmäßigeZahlung,"")</f>
        <v>645.29573460105871</v>
      </c>
      <c r="F7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7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79" s="195">
        <f ca="1">IF(ZahlungsZeitplan[[#This Row],['#]]&lt;&gt;"",ZahlungsZeitplan[[#This Row],[GESAMTZAHLUNG]]-ZahlungsZeitplan[[#This Row],[ZINSEN]],"")</f>
        <v>519.3363978703577</v>
      </c>
      <c r="I79" s="195">
        <f ca="1">IF(ZahlungsZeitplan[[#This Row],['#]]&lt;=($D$8*12),IF(ZahlungsZeitplan[[#This Row],['#]]&lt;&gt;"",ZahlungsZeitplan[[#This Row],[ANFANGSSALDO]]*(ZinsSatz/ZahlungenProJahr),""),IF(ZahlungsZeitplan[[#This Row],['#]]&lt;&gt;"",ZahlungsZeitplan[[#This Row],[ANFANGSSALDO]]*((ZinsSatz+$D$9)/ZahlungenProJahr),""))</f>
        <v>125.95933673070103</v>
      </c>
      <c r="J79" s="195">
        <f ca="1">IF(ZahlungsZeitplan[[#This Row],['#]]&lt;&gt;"",IF(ZahlungsZeitplan[[#This Row],[Zahlungen (Plan)]]+ZahlungsZeitplan[[#This Row],[SONDERZAHLUNG]]&lt;=ZahlungsZeitplan[[#This Row],[ANFANGSSALDO]],ZahlungsZeitplan[[#This Row],[ANFANGSSALDO]]-ZahlungsZeitplan[[#This Row],[KAPITAL]],0),"")</f>
        <v>100924.42472752644</v>
      </c>
      <c r="K79" s="195">
        <f ca="1">IF(ZahlungsZeitplan[[#This Row],['#]]&lt;&gt;"",SUM(INDEX(ZahlungsZeitplan[ZINSEN],1,1):ZahlungsZeitplan[[#This Row],[ZINSEN]]),"")</f>
        <v>9658.9432111962906</v>
      </c>
    </row>
    <row r="80" spans="2:11">
      <c r="B80" s="193">
        <f ca="1">IF(DarlehenIstGut,IF(ROW()-ROW(ZahlungsZeitplan[[#Headers],['#]])&gt;PlanmäßigeAnzahlZahlungen,"",ROW()-ROW(ZahlungsZeitplan[[#Headers],['#]])),"")</f>
        <v>67</v>
      </c>
      <c r="C80" s="194">
        <f ca="1">IF(ZahlungsZeitplan[[#This Row],['#]]&lt;&gt;"",EOMONTH(DarlehensAnfangsDatum,ROW(ZahlungsZeitplan[[#This Row],['#]])-ROW(ZahlungsZeitplan[[#Headers],['#]])-2)+DAY(DarlehensAnfangsDatum),"")</f>
        <v>47334</v>
      </c>
      <c r="D80" s="195">
        <f ca="1">IF(ZahlungsZeitplan[[#This Row],['#]]&lt;&gt;"",IF(ROW()-ROW(ZahlungsZeitplan[[#Headers],[ANFANGSSALDO]])=1,DarlehensBetrag,INDEX(ZahlungsZeitplan[ENDSALDO],ROW()-ROW(ZahlungsZeitplan[[#Headers],[ANFANGSSALDO]])-1)),"")</f>
        <v>100924.42472752644</v>
      </c>
      <c r="E80" s="195">
        <f ca="1">IF(ZahlungsZeitplan[[#This Row],['#]]&lt;&gt;"",PlanmäßigeZahlung,"")</f>
        <v>645.29573460105871</v>
      </c>
      <c r="F8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0" s="195">
        <f ca="1">IF(ZahlungsZeitplan[[#This Row],['#]]&lt;&gt;"",ZahlungsZeitplan[[#This Row],[GESAMTZAHLUNG]]-ZahlungsZeitplan[[#This Row],[ZINSEN]],"")</f>
        <v>519.98124056438007</v>
      </c>
      <c r="I80" s="195">
        <f ca="1">IF(ZahlungsZeitplan[[#This Row],['#]]&lt;=($D$8*12),IF(ZahlungsZeitplan[[#This Row],['#]]&lt;&gt;"",ZahlungsZeitplan[[#This Row],[ANFANGSSALDO]]*(ZinsSatz/ZahlungenProJahr),""),IF(ZahlungsZeitplan[[#This Row],['#]]&lt;&gt;"",ZahlungsZeitplan[[#This Row],[ANFANGSSALDO]]*((ZinsSatz+$D$9)/ZahlungenProJahr),""))</f>
        <v>125.31449403667867</v>
      </c>
      <c r="J80" s="195">
        <f ca="1">IF(ZahlungsZeitplan[[#This Row],['#]]&lt;&gt;"",IF(ZahlungsZeitplan[[#This Row],[Zahlungen (Plan)]]+ZahlungsZeitplan[[#This Row],[SONDERZAHLUNG]]&lt;=ZahlungsZeitplan[[#This Row],[ANFANGSSALDO]],ZahlungsZeitplan[[#This Row],[ANFANGSSALDO]]-ZahlungsZeitplan[[#This Row],[KAPITAL]],0),"")</f>
        <v>100404.44348696206</v>
      </c>
      <c r="K80" s="195">
        <f ca="1">IF(ZahlungsZeitplan[[#This Row],['#]]&lt;&gt;"",SUM(INDEX(ZahlungsZeitplan[ZINSEN],1,1):ZahlungsZeitplan[[#This Row],[ZINSEN]]),"")</f>
        <v>9784.2577052329689</v>
      </c>
    </row>
    <row r="81" spans="2:11">
      <c r="B81" s="193">
        <f ca="1">IF(DarlehenIstGut,IF(ROW()-ROW(ZahlungsZeitplan[[#Headers],['#]])&gt;PlanmäßigeAnzahlZahlungen,"",ROW()-ROW(ZahlungsZeitplan[[#Headers],['#]])),"")</f>
        <v>68</v>
      </c>
      <c r="C81" s="194">
        <f ca="1">IF(ZahlungsZeitplan[[#This Row],['#]]&lt;&gt;"",EOMONTH(DarlehensAnfangsDatum,ROW(ZahlungsZeitplan[[#This Row],['#]])-ROW(ZahlungsZeitplan[[#Headers],['#]])-2)+DAY(DarlehensAnfangsDatum),"")</f>
        <v>47365</v>
      </c>
      <c r="D81" s="195">
        <f ca="1">IF(ZahlungsZeitplan[[#This Row],['#]]&lt;&gt;"",IF(ROW()-ROW(ZahlungsZeitplan[[#Headers],[ANFANGSSALDO]])=1,DarlehensBetrag,INDEX(ZahlungsZeitplan[ENDSALDO],ROW()-ROW(ZahlungsZeitplan[[#Headers],[ANFANGSSALDO]])-1)),"")</f>
        <v>100404.44348696206</v>
      </c>
      <c r="E81" s="195">
        <f ca="1">IF(ZahlungsZeitplan[[#This Row],['#]]&lt;&gt;"",PlanmäßigeZahlung,"")</f>
        <v>645.29573460105871</v>
      </c>
      <c r="F8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1" s="195">
        <f ca="1">IF(ZahlungsZeitplan[[#This Row],['#]]&lt;&gt;"",ZahlungsZeitplan[[#This Row],[GESAMTZAHLUNG]]-ZahlungsZeitplan[[#This Row],[ZINSEN]],"")</f>
        <v>520.62688393808082</v>
      </c>
      <c r="I81" s="195">
        <f ca="1">IF(ZahlungsZeitplan[[#This Row],['#]]&lt;=($D$8*12),IF(ZahlungsZeitplan[[#This Row],['#]]&lt;&gt;"",ZahlungsZeitplan[[#This Row],[ANFANGSSALDO]]*(ZinsSatz/ZahlungenProJahr),""),IF(ZahlungsZeitplan[[#This Row],['#]]&lt;&gt;"",ZahlungsZeitplan[[#This Row],[ANFANGSSALDO]]*((ZinsSatz+$D$9)/ZahlungenProJahr),""))</f>
        <v>124.6688506629779</v>
      </c>
      <c r="J81" s="195">
        <f ca="1">IF(ZahlungsZeitplan[[#This Row],['#]]&lt;&gt;"",IF(ZahlungsZeitplan[[#This Row],[Zahlungen (Plan)]]+ZahlungsZeitplan[[#This Row],[SONDERZAHLUNG]]&lt;=ZahlungsZeitplan[[#This Row],[ANFANGSSALDO]],ZahlungsZeitplan[[#This Row],[ANFANGSSALDO]]-ZahlungsZeitplan[[#This Row],[KAPITAL]],0),"")</f>
        <v>99883.816603023981</v>
      </c>
      <c r="K81" s="195">
        <f ca="1">IF(ZahlungsZeitplan[[#This Row],['#]]&lt;&gt;"",SUM(INDEX(ZahlungsZeitplan[ZINSEN],1,1):ZahlungsZeitplan[[#This Row],[ZINSEN]]),"")</f>
        <v>9908.9265558959469</v>
      </c>
    </row>
    <row r="82" spans="2:11">
      <c r="B82" s="193">
        <f ca="1">IF(DarlehenIstGut,IF(ROW()-ROW(ZahlungsZeitplan[[#Headers],['#]])&gt;PlanmäßigeAnzahlZahlungen,"",ROW()-ROW(ZahlungsZeitplan[[#Headers],['#]])),"")</f>
        <v>69</v>
      </c>
      <c r="C82" s="194">
        <f ca="1">IF(ZahlungsZeitplan[[#This Row],['#]]&lt;&gt;"",EOMONTH(DarlehensAnfangsDatum,ROW(ZahlungsZeitplan[[#This Row],['#]])-ROW(ZahlungsZeitplan[[#Headers],['#]])-2)+DAY(DarlehensAnfangsDatum),"")</f>
        <v>47395</v>
      </c>
      <c r="D82" s="195">
        <f ca="1">IF(ZahlungsZeitplan[[#This Row],['#]]&lt;&gt;"",IF(ROW()-ROW(ZahlungsZeitplan[[#Headers],[ANFANGSSALDO]])=1,DarlehensBetrag,INDEX(ZahlungsZeitplan[ENDSALDO],ROW()-ROW(ZahlungsZeitplan[[#Headers],[ANFANGSSALDO]])-1)),"")</f>
        <v>99883.816603023981</v>
      </c>
      <c r="E82" s="195">
        <f ca="1">IF(ZahlungsZeitplan[[#This Row],['#]]&lt;&gt;"",PlanmäßigeZahlung,"")</f>
        <v>645.29573460105871</v>
      </c>
      <c r="F8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2" s="195">
        <f ca="1">IF(ZahlungsZeitplan[[#This Row],['#]]&lt;&gt;"",ZahlungsZeitplan[[#This Row],[GESAMTZAHLUNG]]-ZahlungsZeitplan[[#This Row],[ZINSEN]],"")</f>
        <v>521.27332898563725</v>
      </c>
      <c r="I82" s="195">
        <f ca="1">IF(ZahlungsZeitplan[[#This Row],['#]]&lt;=($D$8*12),IF(ZahlungsZeitplan[[#This Row],['#]]&lt;&gt;"",ZahlungsZeitplan[[#This Row],[ANFANGSSALDO]]*(ZinsSatz/ZahlungenProJahr),""),IF(ZahlungsZeitplan[[#This Row],['#]]&lt;&gt;"",ZahlungsZeitplan[[#This Row],[ANFANGSSALDO]]*((ZinsSatz+$D$9)/ZahlungenProJahr),""))</f>
        <v>124.02240561542145</v>
      </c>
      <c r="J82" s="195">
        <f ca="1">IF(ZahlungsZeitplan[[#This Row],['#]]&lt;&gt;"",IF(ZahlungsZeitplan[[#This Row],[Zahlungen (Plan)]]+ZahlungsZeitplan[[#This Row],[SONDERZAHLUNG]]&lt;=ZahlungsZeitplan[[#This Row],[ANFANGSSALDO]],ZahlungsZeitplan[[#This Row],[ANFANGSSALDO]]-ZahlungsZeitplan[[#This Row],[KAPITAL]],0),"")</f>
        <v>99362.54327403834</v>
      </c>
      <c r="K82" s="195">
        <f ca="1">IF(ZahlungsZeitplan[[#This Row],['#]]&lt;&gt;"",SUM(INDEX(ZahlungsZeitplan[ZINSEN],1,1):ZahlungsZeitplan[[#This Row],[ZINSEN]]),"")</f>
        <v>10032.948961511369</v>
      </c>
    </row>
    <row r="83" spans="2:11">
      <c r="B83" s="193">
        <f ca="1">IF(DarlehenIstGut,IF(ROW()-ROW(ZahlungsZeitplan[[#Headers],['#]])&gt;PlanmäßigeAnzahlZahlungen,"",ROW()-ROW(ZahlungsZeitplan[[#Headers],['#]])),"")</f>
        <v>70</v>
      </c>
      <c r="C83" s="194">
        <f ca="1">IF(ZahlungsZeitplan[[#This Row],['#]]&lt;&gt;"",EOMONTH(DarlehensAnfangsDatum,ROW(ZahlungsZeitplan[[#This Row],['#]])-ROW(ZahlungsZeitplan[[#Headers],['#]])-2)+DAY(DarlehensAnfangsDatum),"")</f>
        <v>47426</v>
      </c>
      <c r="D83" s="195">
        <f ca="1">IF(ZahlungsZeitplan[[#This Row],['#]]&lt;&gt;"",IF(ROW()-ROW(ZahlungsZeitplan[[#Headers],[ANFANGSSALDO]])=1,DarlehensBetrag,INDEX(ZahlungsZeitplan[ENDSALDO],ROW()-ROW(ZahlungsZeitplan[[#Headers],[ANFANGSSALDO]])-1)),"")</f>
        <v>99362.54327403834</v>
      </c>
      <c r="E83" s="195">
        <f ca="1">IF(ZahlungsZeitplan[[#This Row],['#]]&lt;&gt;"",PlanmäßigeZahlung,"")</f>
        <v>645.29573460105871</v>
      </c>
      <c r="F8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3" s="195">
        <f ca="1">IF(ZahlungsZeitplan[[#This Row],['#]]&lt;&gt;"",ZahlungsZeitplan[[#This Row],[GESAMTZAHLUNG]]-ZahlungsZeitplan[[#This Row],[ZINSEN]],"")</f>
        <v>521.92057670246106</v>
      </c>
      <c r="I83" s="195">
        <f ca="1">IF(ZahlungsZeitplan[[#This Row],['#]]&lt;=($D$8*12),IF(ZahlungsZeitplan[[#This Row],['#]]&lt;&gt;"",ZahlungsZeitplan[[#This Row],[ANFANGSSALDO]]*(ZinsSatz/ZahlungenProJahr),""),IF(ZahlungsZeitplan[[#This Row],['#]]&lt;&gt;"",ZahlungsZeitplan[[#This Row],[ANFANGSSALDO]]*((ZinsSatz+$D$9)/ZahlungenProJahr),""))</f>
        <v>123.37515789859761</v>
      </c>
      <c r="J83" s="195">
        <f ca="1">IF(ZahlungsZeitplan[[#This Row],['#]]&lt;&gt;"",IF(ZahlungsZeitplan[[#This Row],[Zahlungen (Plan)]]+ZahlungsZeitplan[[#This Row],[SONDERZAHLUNG]]&lt;=ZahlungsZeitplan[[#This Row],[ANFANGSSALDO]],ZahlungsZeitplan[[#This Row],[ANFANGSSALDO]]-ZahlungsZeitplan[[#This Row],[KAPITAL]],0),"")</f>
        <v>98840.622697335886</v>
      </c>
      <c r="K83" s="195">
        <f ca="1">IF(ZahlungsZeitplan[[#This Row],['#]]&lt;&gt;"",SUM(INDEX(ZahlungsZeitplan[ZINSEN],1,1):ZahlungsZeitplan[[#This Row],[ZINSEN]]),"")</f>
        <v>10156.324119409966</v>
      </c>
    </row>
    <row r="84" spans="2:11">
      <c r="B84" s="193">
        <f ca="1">IF(DarlehenIstGut,IF(ROW()-ROW(ZahlungsZeitplan[[#Headers],['#]])&gt;PlanmäßigeAnzahlZahlungen,"",ROW()-ROW(ZahlungsZeitplan[[#Headers],['#]])),"")</f>
        <v>71</v>
      </c>
      <c r="C84" s="194">
        <f ca="1">IF(ZahlungsZeitplan[[#This Row],['#]]&lt;&gt;"",EOMONTH(DarlehensAnfangsDatum,ROW(ZahlungsZeitplan[[#This Row],['#]])-ROW(ZahlungsZeitplan[[#Headers],['#]])-2)+DAY(DarlehensAnfangsDatum),"")</f>
        <v>47456</v>
      </c>
      <c r="D84" s="195">
        <f ca="1">IF(ZahlungsZeitplan[[#This Row],['#]]&lt;&gt;"",IF(ROW()-ROW(ZahlungsZeitplan[[#Headers],[ANFANGSSALDO]])=1,DarlehensBetrag,INDEX(ZahlungsZeitplan[ENDSALDO],ROW()-ROW(ZahlungsZeitplan[[#Headers],[ANFANGSSALDO]])-1)),"")</f>
        <v>98840.622697335886</v>
      </c>
      <c r="E84" s="195">
        <f ca="1">IF(ZahlungsZeitplan[[#This Row],['#]]&lt;&gt;"",PlanmäßigeZahlung,"")</f>
        <v>645.29573460105871</v>
      </c>
      <c r="F8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4" s="195">
        <f ca="1">IF(ZahlungsZeitplan[[#This Row],['#]]&lt;&gt;"",ZahlungsZeitplan[[#This Row],[GESAMTZAHLUNG]]-ZahlungsZeitplan[[#This Row],[ZINSEN]],"")</f>
        <v>522.56862808519998</v>
      </c>
      <c r="I84" s="195">
        <f ca="1">IF(ZahlungsZeitplan[[#This Row],['#]]&lt;=($D$8*12),IF(ZahlungsZeitplan[[#This Row],['#]]&lt;&gt;"",ZahlungsZeitplan[[#This Row],[ANFANGSSALDO]]*(ZinsSatz/ZahlungenProJahr),""),IF(ZahlungsZeitplan[[#This Row],['#]]&lt;&gt;"",ZahlungsZeitplan[[#This Row],[ANFANGSSALDO]]*((ZinsSatz+$D$9)/ZahlungenProJahr),""))</f>
        <v>122.72710651585874</v>
      </c>
      <c r="J84" s="195">
        <f ca="1">IF(ZahlungsZeitplan[[#This Row],['#]]&lt;&gt;"",IF(ZahlungsZeitplan[[#This Row],[Zahlungen (Plan)]]+ZahlungsZeitplan[[#This Row],[SONDERZAHLUNG]]&lt;=ZahlungsZeitplan[[#This Row],[ANFANGSSALDO]],ZahlungsZeitplan[[#This Row],[ANFANGSSALDO]]-ZahlungsZeitplan[[#This Row],[KAPITAL]],0),"")</f>
        <v>98318.054069250691</v>
      </c>
      <c r="K84" s="195">
        <f ca="1">IF(ZahlungsZeitplan[[#This Row],['#]]&lt;&gt;"",SUM(INDEX(ZahlungsZeitplan[ZINSEN],1,1):ZahlungsZeitplan[[#This Row],[ZINSEN]]),"")</f>
        <v>10279.051225925825</v>
      </c>
    </row>
    <row r="85" spans="2:11">
      <c r="B85" s="193">
        <f ca="1">IF(DarlehenIstGut,IF(ROW()-ROW(ZahlungsZeitplan[[#Headers],['#]])&gt;PlanmäßigeAnzahlZahlungen,"",ROW()-ROW(ZahlungsZeitplan[[#Headers],['#]])),"")</f>
        <v>72</v>
      </c>
      <c r="C85" s="194">
        <f ca="1">IF(ZahlungsZeitplan[[#This Row],['#]]&lt;&gt;"",EOMONTH(DarlehensAnfangsDatum,ROW(ZahlungsZeitplan[[#This Row],['#]])-ROW(ZahlungsZeitplan[[#Headers],['#]])-2)+DAY(DarlehensAnfangsDatum),"")</f>
        <v>47487</v>
      </c>
      <c r="D85" s="195">
        <f ca="1">IF(ZahlungsZeitplan[[#This Row],['#]]&lt;&gt;"",IF(ROW()-ROW(ZahlungsZeitplan[[#Headers],[ANFANGSSALDO]])=1,DarlehensBetrag,INDEX(ZahlungsZeitplan[ENDSALDO],ROW()-ROW(ZahlungsZeitplan[[#Headers],[ANFANGSSALDO]])-1)),"")</f>
        <v>98318.054069250691</v>
      </c>
      <c r="E85" s="195">
        <f ca="1">IF(ZahlungsZeitplan[[#This Row],['#]]&lt;&gt;"",PlanmäßigeZahlung,"")</f>
        <v>645.29573460105871</v>
      </c>
      <c r="F8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5" s="195">
        <f ca="1">IF(ZahlungsZeitplan[[#This Row],['#]]&lt;&gt;"",ZahlungsZeitplan[[#This Row],[GESAMTZAHLUNG]]-ZahlungsZeitplan[[#This Row],[ZINSEN]],"")</f>
        <v>523.21748413173907</v>
      </c>
      <c r="I85" s="195">
        <f ca="1">IF(ZahlungsZeitplan[[#This Row],['#]]&lt;=($D$8*12),IF(ZahlungsZeitplan[[#This Row],['#]]&lt;&gt;"",ZahlungsZeitplan[[#This Row],[ANFANGSSALDO]]*(ZinsSatz/ZahlungenProJahr),""),IF(ZahlungsZeitplan[[#This Row],['#]]&lt;&gt;"",ZahlungsZeitplan[[#This Row],[ANFANGSSALDO]]*((ZinsSatz+$D$9)/ZahlungenProJahr),""))</f>
        <v>122.07825046931961</v>
      </c>
      <c r="J85" s="195">
        <f ca="1">IF(ZahlungsZeitplan[[#This Row],['#]]&lt;&gt;"",IF(ZahlungsZeitplan[[#This Row],[Zahlungen (Plan)]]+ZahlungsZeitplan[[#This Row],[SONDERZAHLUNG]]&lt;=ZahlungsZeitplan[[#This Row],[ANFANGSSALDO]],ZahlungsZeitplan[[#This Row],[ANFANGSSALDO]]-ZahlungsZeitplan[[#This Row],[KAPITAL]],0),"")</f>
        <v>97794.836585118959</v>
      </c>
      <c r="K85" s="195">
        <f ca="1">IF(ZahlungsZeitplan[[#This Row],['#]]&lt;&gt;"",SUM(INDEX(ZahlungsZeitplan[ZINSEN],1,1):ZahlungsZeitplan[[#This Row],[ZINSEN]]),"")</f>
        <v>10401.129476395145</v>
      </c>
    </row>
    <row r="86" spans="2:11">
      <c r="B86" s="193">
        <f ca="1">IF(DarlehenIstGut,IF(ROW()-ROW(ZahlungsZeitplan[[#Headers],['#]])&gt;PlanmäßigeAnzahlZahlungen,"",ROW()-ROW(ZahlungsZeitplan[[#Headers],['#]])),"")</f>
        <v>73</v>
      </c>
      <c r="C86" s="194">
        <f ca="1">IF(ZahlungsZeitplan[[#This Row],['#]]&lt;&gt;"",EOMONTH(DarlehensAnfangsDatum,ROW(ZahlungsZeitplan[[#This Row],['#]])-ROW(ZahlungsZeitplan[[#Headers],['#]])-2)+DAY(DarlehensAnfangsDatum),"")</f>
        <v>47518</v>
      </c>
      <c r="D86" s="195">
        <f ca="1">IF(ZahlungsZeitplan[[#This Row],['#]]&lt;&gt;"",IF(ROW()-ROW(ZahlungsZeitplan[[#Headers],[ANFANGSSALDO]])=1,DarlehensBetrag,INDEX(ZahlungsZeitplan[ENDSALDO],ROW()-ROW(ZahlungsZeitplan[[#Headers],[ANFANGSSALDO]])-1)),"")</f>
        <v>97794.836585118959</v>
      </c>
      <c r="E86" s="195">
        <f ca="1">IF(ZahlungsZeitplan[[#This Row],['#]]&lt;&gt;"",PlanmäßigeZahlung,"")</f>
        <v>645.29573460105871</v>
      </c>
      <c r="F8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6" s="195">
        <f ca="1">IF(ZahlungsZeitplan[[#This Row],['#]]&lt;&gt;"",ZahlungsZeitplan[[#This Row],[GESAMTZAHLUNG]]-ZahlungsZeitplan[[#This Row],[ZINSEN]],"")</f>
        <v>523.86714584120261</v>
      </c>
      <c r="I86" s="195">
        <f ca="1">IF(ZahlungsZeitplan[[#This Row],['#]]&lt;=($D$8*12),IF(ZahlungsZeitplan[[#This Row],['#]]&lt;&gt;"",ZahlungsZeitplan[[#This Row],[ANFANGSSALDO]]*(ZinsSatz/ZahlungenProJahr),""),IF(ZahlungsZeitplan[[#This Row],['#]]&lt;&gt;"",ZahlungsZeitplan[[#This Row],[ANFANGSSALDO]]*((ZinsSatz+$D$9)/ZahlungenProJahr),""))</f>
        <v>121.42858875985605</v>
      </c>
      <c r="J86" s="195">
        <f ca="1">IF(ZahlungsZeitplan[[#This Row],['#]]&lt;&gt;"",IF(ZahlungsZeitplan[[#This Row],[Zahlungen (Plan)]]+ZahlungsZeitplan[[#This Row],[SONDERZAHLUNG]]&lt;=ZahlungsZeitplan[[#This Row],[ANFANGSSALDO]],ZahlungsZeitplan[[#This Row],[ANFANGSSALDO]]-ZahlungsZeitplan[[#This Row],[KAPITAL]],0),"")</f>
        <v>97270.96943927776</v>
      </c>
      <c r="K86" s="195">
        <f ca="1">IF(ZahlungsZeitplan[[#This Row],['#]]&lt;&gt;"",SUM(INDEX(ZahlungsZeitplan[ZINSEN],1,1):ZahlungsZeitplan[[#This Row],[ZINSEN]]),"")</f>
        <v>10522.558065155001</v>
      </c>
    </row>
    <row r="87" spans="2:11">
      <c r="B87" s="193">
        <f ca="1">IF(DarlehenIstGut,IF(ROW()-ROW(ZahlungsZeitplan[[#Headers],['#]])&gt;PlanmäßigeAnzahlZahlungen,"",ROW()-ROW(ZahlungsZeitplan[[#Headers],['#]])),"")</f>
        <v>74</v>
      </c>
      <c r="C87" s="194">
        <f ca="1">IF(ZahlungsZeitplan[[#This Row],['#]]&lt;&gt;"",EOMONTH(DarlehensAnfangsDatum,ROW(ZahlungsZeitplan[[#This Row],['#]])-ROW(ZahlungsZeitplan[[#Headers],['#]])-2)+DAY(DarlehensAnfangsDatum),"")</f>
        <v>47546</v>
      </c>
      <c r="D87" s="195">
        <f ca="1">IF(ZahlungsZeitplan[[#This Row],['#]]&lt;&gt;"",IF(ROW()-ROW(ZahlungsZeitplan[[#Headers],[ANFANGSSALDO]])=1,DarlehensBetrag,INDEX(ZahlungsZeitplan[ENDSALDO],ROW()-ROW(ZahlungsZeitplan[[#Headers],[ANFANGSSALDO]])-1)),"")</f>
        <v>97270.96943927776</v>
      </c>
      <c r="E87" s="195">
        <f ca="1">IF(ZahlungsZeitplan[[#This Row],['#]]&lt;&gt;"",PlanmäßigeZahlung,"")</f>
        <v>645.29573460105871</v>
      </c>
      <c r="F8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7" s="195">
        <f ca="1">IF(ZahlungsZeitplan[[#This Row],['#]]&lt;&gt;"",ZahlungsZeitplan[[#This Row],[GESAMTZAHLUNG]]-ZahlungsZeitplan[[#This Row],[ZINSEN]],"")</f>
        <v>524.51761421395554</v>
      </c>
      <c r="I87" s="195">
        <f ca="1">IF(ZahlungsZeitplan[[#This Row],['#]]&lt;=($D$8*12),IF(ZahlungsZeitplan[[#This Row],['#]]&lt;&gt;"",ZahlungsZeitplan[[#This Row],[ANFANGSSALDO]]*(ZinsSatz/ZahlungenProJahr),""),IF(ZahlungsZeitplan[[#This Row],['#]]&lt;&gt;"",ZahlungsZeitplan[[#This Row],[ANFANGSSALDO]]*((ZinsSatz+$D$9)/ZahlungenProJahr),""))</f>
        <v>120.77812038710323</v>
      </c>
      <c r="J87" s="195">
        <f ca="1">IF(ZahlungsZeitplan[[#This Row],['#]]&lt;&gt;"",IF(ZahlungsZeitplan[[#This Row],[Zahlungen (Plan)]]+ZahlungsZeitplan[[#This Row],[SONDERZAHLUNG]]&lt;=ZahlungsZeitplan[[#This Row],[ANFANGSSALDO]],ZahlungsZeitplan[[#This Row],[ANFANGSSALDO]]-ZahlungsZeitplan[[#This Row],[KAPITAL]],0),"")</f>
        <v>96746.451825063807</v>
      </c>
      <c r="K87" s="195">
        <f ca="1">IF(ZahlungsZeitplan[[#This Row],['#]]&lt;&gt;"",SUM(INDEX(ZahlungsZeitplan[ZINSEN],1,1):ZahlungsZeitplan[[#This Row],[ZINSEN]]),"")</f>
        <v>10643.336185542104</v>
      </c>
    </row>
    <row r="88" spans="2:11">
      <c r="B88" s="193">
        <f ca="1">IF(DarlehenIstGut,IF(ROW()-ROW(ZahlungsZeitplan[[#Headers],['#]])&gt;PlanmäßigeAnzahlZahlungen,"",ROW()-ROW(ZahlungsZeitplan[[#Headers],['#]])),"")</f>
        <v>75</v>
      </c>
      <c r="C88" s="194">
        <f ca="1">IF(ZahlungsZeitplan[[#This Row],['#]]&lt;&gt;"",EOMONTH(DarlehensAnfangsDatum,ROW(ZahlungsZeitplan[[#This Row],['#]])-ROW(ZahlungsZeitplan[[#Headers],['#]])-2)+DAY(DarlehensAnfangsDatum),"")</f>
        <v>47577</v>
      </c>
      <c r="D88" s="195">
        <f ca="1">IF(ZahlungsZeitplan[[#This Row],['#]]&lt;&gt;"",IF(ROW()-ROW(ZahlungsZeitplan[[#Headers],[ANFANGSSALDO]])=1,DarlehensBetrag,INDEX(ZahlungsZeitplan[ENDSALDO],ROW()-ROW(ZahlungsZeitplan[[#Headers],[ANFANGSSALDO]])-1)),"")</f>
        <v>96746.451825063807</v>
      </c>
      <c r="E88" s="195">
        <f ca="1">IF(ZahlungsZeitplan[[#This Row],['#]]&lt;&gt;"",PlanmäßigeZahlung,"")</f>
        <v>645.29573460105871</v>
      </c>
      <c r="F8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8" s="195">
        <f ca="1">IF(ZahlungsZeitplan[[#This Row],['#]]&lt;&gt;"",ZahlungsZeitplan[[#This Row],[GESAMTZAHLUNG]]-ZahlungsZeitplan[[#This Row],[ZINSEN]],"")</f>
        <v>525.16889025160447</v>
      </c>
      <c r="I88" s="195">
        <f ca="1">IF(ZahlungsZeitplan[[#This Row],['#]]&lt;=($D$8*12),IF(ZahlungsZeitplan[[#This Row],['#]]&lt;&gt;"",ZahlungsZeitplan[[#This Row],[ANFANGSSALDO]]*(ZinsSatz/ZahlungenProJahr),""),IF(ZahlungsZeitplan[[#This Row],['#]]&lt;&gt;"",ZahlungsZeitplan[[#This Row],[ANFANGSSALDO]]*((ZinsSatz+$D$9)/ZahlungenProJahr),""))</f>
        <v>120.12684434945423</v>
      </c>
      <c r="J88" s="195">
        <f ca="1">IF(ZahlungsZeitplan[[#This Row],['#]]&lt;&gt;"",IF(ZahlungsZeitplan[[#This Row],[Zahlungen (Plan)]]+ZahlungsZeitplan[[#This Row],[SONDERZAHLUNG]]&lt;=ZahlungsZeitplan[[#This Row],[ANFANGSSALDO]],ZahlungsZeitplan[[#This Row],[ANFANGSSALDO]]-ZahlungsZeitplan[[#This Row],[KAPITAL]],0),"")</f>
        <v>96221.282934812203</v>
      </c>
      <c r="K88" s="195">
        <f ca="1">IF(ZahlungsZeitplan[[#This Row],['#]]&lt;&gt;"",SUM(INDEX(ZahlungsZeitplan[ZINSEN],1,1):ZahlungsZeitplan[[#This Row],[ZINSEN]]),"")</f>
        <v>10763.463029891558</v>
      </c>
    </row>
    <row r="89" spans="2:11">
      <c r="B89" s="193">
        <f ca="1">IF(DarlehenIstGut,IF(ROW()-ROW(ZahlungsZeitplan[[#Headers],['#]])&gt;PlanmäßigeAnzahlZahlungen,"",ROW()-ROW(ZahlungsZeitplan[[#Headers],['#]])),"")</f>
        <v>76</v>
      </c>
      <c r="C89" s="194">
        <f ca="1">IF(ZahlungsZeitplan[[#This Row],['#]]&lt;&gt;"",EOMONTH(DarlehensAnfangsDatum,ROW(ZahlungsZeitplan[[#This Row],['#]])-ROW(ZahlungsZeitplan[[#Headers],['#]])-2)+DAY(DarlehensAnfangsDatum),"")</f>
        <v>47607</v>
      </c>
      <c r="D89" s="195">
        <f ca="1">IF(ZahlungsZeitplan[[#This Row],['#]]&lt;&gt;"",IF(ROW()-ROW(ZahlungsZeitplan[[#Headers],[ANFANGSSALDO]])=1,DarlehensBetrag,INDEX(ZahlungsZeitplan[ENDSALDO],ROW()-ROW(ZahlungsZeitplan[[#Headers],[ANFANGSSALDO]])-1)),"")</f>
        <v>96221.282934812203</v>
      </c>
      <c r="E89" s="195">
        <f ca="1">IF(ZahlungsZeitplan[[#This Row],['#]]&lt;&gt;"",PlanmäßigeZahlung,"")</f>
        <v>645.29573460105871</v>
      </c>
      <c r="F8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8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89" s="195">
        <f ca="1">IF(ZahlungsZeitplan[[#This Row],['#]]&lt;&gt;"",ZahlungsZeitplan[[#This Row],[GESAMTZAHLUNG]]-ZahlungsZeitplan[[#This Row],[ZINSEN]],"")</f>
        <v>525.8209749570002</v>
      </c>
      <c r="I89" s="195">
        <f ca="1">IF(ZahlungsZeitplan[[#This Row],['#]]&lt;=($D$8*12),IF(ZahlungsZeitplan[[#This Row],['#]]&lt;&gt;"",ZahlungsZeitplan[[#This Row],[ANFANGSSALDO]]*(ZinsSatz/ZahlungenProJahr),""),IF(ZahlungsZeitplan[[#This Row],['#]]&lt;&gt;"",ZahlungsZeitplan[[#This Row],[ANFANGSSALDO]]*((ZinsSatz+$D$9)/ZahlungenProJahr),""))</f>
        <v>119.47475964405849</v>
      </c>
      <c r="J89" s="195">
        <f ca="1">IF(ZahlungsZeitplan[[#This Row],['#]]&lt;&gt;"",IF(ZahlungsZeitplan[[#This Row],[Zahlungen (Plan)]]+ZahlungsZeitplan[[#This Row],[SONDERZAHLUNG]]&lt;=ZahlungsZeitplan[[#This Row],[ANFANGSSALDO]],ZahlungsZeitplan[[#This Row],[ANFANGSSALDO]]-ZahlungsZeitplan[[#This Row],[KAPITAL]],0),"")</f>
        <v>95695.461959855209</v>
      </c>
      <c r="K89" s="195">
        <f ca="1">IF(ZahlungsZeitplan[[#This Row],['#]]&lt;&gt;"",SUM(INDEX(ZahlungsZeitplan[ZINSEN],1,1):ZahlungsZeitplan[[#This Row],[ZINSEN]]),"")</f>
        <v>10882.937789535617</v>
      </c>
    </row>
    <row r="90" spans="2:11">
      <c r="B90" s="193">
        <f ca="1">IF(DarlehenIstGut,IF(ROW()-ROW(ZahlungsZeitplan[[#Headers],['#]])&gt;PlanmäßigeAnzahlZahlungen,"",ROW()-ROW(ZahlungsZeitplan[[#Headers],['#]])),"")</f>
        <v>77</v>
      </c>
      <c r="C90" s="194">
        <f ca="1">IF(ZahlungsZeitplan[[#This Row],['#]]&lt;&gt;"",EOMONTH(DarlehensAnfangsDatum,ROW(ZahlungsZeitplan[[#This Row],['#]])-ROW(ZahlungsZeitplan[[#Headers],['#]])-2)+DAY(DarlehensAnfangsDatum),"")</f>
        <v>47638</v>
      </c>
      <c r="D90" s="195">
        <f ca="1">IF(ZahlungsZeitplan[[#This Row],['#]]&lt;&gt;"",IF(ROW()-ROW(ZahlungsZeitplan[[#Headers],[ANFANGSSALDO]])=1,DarlehensBetrag,INDEX(ZahlungsZeitplan[ENDSALDO],ROW()-ROW(ZahlungsZeitplan[[#Headers],[ANFANGSSALDO]])-1)),"")</f>
        <v>95695.461959855209</v>
      </c>
      <c r="E90" s="195">
        <f ca="1">IF(ZahlungsZeitplan[[#This Row],['#]]&lt;&gt;"",PlanmäßigeZahlung,"")</f>
        <v>645.29573460105871</v>
      </c>
      <c r="F9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0" s="195">
        <f ca="1">IF(ZahlungsZeitplan[[#This Row],['#]]&lt;&gt;"",ZahlungsZeitplan[[#This Row],[GESAMTZAHLUNG]]-ZahlungsZeitplan[[#This Row],[ZINSEN]],"")</f>
        <v>526.47386933423854</v>
      </c>
      <c r="I90" s="195">
        <f ca="1">IF(ZahlungsZeitplan[[#This Row],['#]]&lt;=($D$8*12),IF(ZahlungsZeitplan[[#This Row],['#]]&lt;&gt;"",ZahlungsZeitplan[[#This Row],[ANFANGSSALDO]]*(ZinsSatz/ZahlungenProJahr),""),IF(ZahlungsZeitplan[[#This Row],['#]]&lt;&gt;"",ZahlungsZeitplan[[#This Row],[ANFANGSSALDO]]*((ZinsSatz+$D$9)/ZahlungenProJahr),""))</f>
        <v>118.82186526682023</v>
      </c>
      <c r="J90" s="195">
        <f ca="1">IF(ZahlungsZeitplan[[#This Row],['#]]&lt;&gt;"",IF(ZahlungsZeitplan[[#This Row],[Zahlungen (Plan)]]+ZahlungsZeitplan[[#This Row],[SONDERZAHLUNG]]&lt;=ZahlungsZeitplan[[#This Row],[ANFANGSSALDO]],ZahlungsZeitplan[[#This Row],[ANFANGSSALDO]]-ZahlungsZeitplan[[#This Row],[KAPITAL]],0),"")</f>
        <v>95168.988090520972</v>
      </c>
      <c r="K90" s="195">
        <f ca="1">IF(ZahlungsZeitplan[[#This Row],['#]]&lt;&gt;"",SUM(INDEX(ZahlungsZeitplan[ZINSEN],1,1):ZahlungsZeitplan[[#This Row],[ZINSEN]]),"")</f>
        <v>11001.759654802438</v>
      </c>
    </row>
    <row r="91" spans="2:11">
      <c r="B91" s="193">
        <f ca="1">IF(DarlehenIstGut,IF(ROW()-ROW(ZahlungsZeitplan[[#Headers],['#]])&gt;PlanmäßigeAnzahlZahlungen,"",ROW()-ROW(ZahlungsZeitplan[[#Headers],['#]])),"")</f>
        <v>78</v>
      </c>
      <c r="C91" s="194">
        <f ca="1">IF(ZahlungsZeitplan[[#This Row],['#]]&lt;&gt;"",EOMONTH(DarlehensAnfangsDatum,ROW(ZahlungsZeitplan[[#This Row],['#]])-ROW(ZahlungsZeitplan[[#Headers],['#]])-2)+DAY(DarlehensAnfangsDatum),"")</f>
        <v>47668</v>
      </c>
      <c r="D91" s="195">
        <f ca="1">IF(ZahlungsZeitplan[[#This Row],['#]]&lt;&gt;"",IF(ROW()-ROW(ZahlungsZeitplan[[#Headers],[ANFANGSSALDO]])=1,DarlehensBetrag,INDEX(ZahlungsZeitplan[ENDSALDO],ROW()-ROW(ZahlungsZeitplan[[#Headers],[ANFANGSSALDO]])-1)),"")</f>
        <v>95168.988090520972</v>
      </c>
      <c r="E91" s="195">
        <f ca="1">IF(ZahlungsZeitplan[[#This Row],['#]]&lt;&gt;"",PlanmäßigeZahlung,"")</f>
        <v>645.29573460105871</v>
      </c>
      <c r="F9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1" s="195">
        <f ca="1">IF(ZahlungsZeitplan[[#This Row],['#]]&lt;&gt;"",ZahlungsZeitplan[[#This Row],[GESAMTZAHLUNG]]-ZahlungsZeitplan[[#This Row],[ZINSEN]],"")</f>
        <v>527.12757438866186</v>
      </c>
      <c r="I91" s="195">
        <f ca="1">IF(ZahlungsZeitplan[[#This Row],['#]]&lt;=($D$8*12),IF(ZahlungsZeitplan[[#This Row],['#]]&lt;&gt;"",ZahlungsZeitplan[[#This Row],[ANFANGSSALDO]]*(ZinsSatz/ZahlungenProJahr),""),IF(ZahlungsZeitplan[[#This Row],['#]]&lt;&gt;"",ZahlungsZeitplan[[#This Row],[ANFANGSSALDO]]*((ZinsSatz+$D$9)/ZahlungenProJahr),""))</f>
        <v>118.16816021239688</v>
      </c>
      <c r="J91" s="195">
        <f ca="1">IF(ZahlungsZeitplan[[#This Row],['#]]&lt;&gt;"",IF(ZahlungsZeitplan[[#This Row],[Zahlungen (Plan)]]+ZahlungsZeitplan[[#This Row],[SONDERZAHLUNG]]&lt;=ZahlungsZeitplan[[#This Row],[ANFANGSSALDO]],ZahlungsZeitplan[[#This Row],[ANFANGSSALDO]]-ZahlungsZeitplan[[#This Row],[KAPITAL]],0),"")</f>
        <v>94641.860516132307</v>
      </c>
      <c r="K91" s="195">
        <f ca="1">IF(ZahlungsZeitplan[[#This Row],['#]]&lt;&gt;"",SUM(INDEX(ZahlungsZeitplan[ZINSEN],1,1):ZahlungsZeitplan[[#This Row],[ZINSEN]]),"")</f>
        <v>11119.927815014835</v>
      </c>
    </row>
    <row r="92" spans="2:11">
      <c r="B92" s="193">
        <f ca="1">IF(DarlehenIstGut,IF(ROW()-ROW(ZahlungsZeitplan[[#Headers],['#]])&gt;PlanmäßigeAnzahlZahlungen,"",ROW()-ROW(ZahlungsZeitplan[[#Headers],['#]])),"")</f>
        <v>79</v>
      </c>
      <c r="C92" s="194">
        <f ca="1">IF(ZahlungsZeitplan[[#This Row],['#]]&lt;&gt;"",EOMONTH(DarlehensAnfangsDatum,ROW(ZahlungsZeitplan[[#This Row],['#]])-ROW(ZahlungsZeitplan[[#Headers],['#]])-2)+DAY(DarlehensAnfangsDatum),"")</f>
        <v>47699</v>
      </c>
      <c r="D92" s="195">
        <f ca="1">IF(ZahlungsZeitplan[[#This Row],['#]]&lt;&gt;"",IF(ROW()-ROW(ZahlungsZeitplan[[#Headers],[ANFANGSSALDO]])=1,DarlehensBetrag,INDEX(ZahlungsZeitplan[ENDSALDO],ROW()-ROW(ZahlungsZeitplan[[#Headers],[ANFANGSSALDO]])-1)),"")</f>
        <v>94641.860516132307</v>
      </c>
      <c r="E92" s="195">
        <f ca="1">IF(ZahlungsZeitplan[[#This Row],['#]]&lt;&gt;"",PlanmäßigeZahlung,"")</f>
        <v>645.29573460105871</v>
      </c>
      <c r="F9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2" s="195">
        <f ca="1">IF(ZahlungsZeitplan[[#This Row],['#]]&lt;&gt;"",ZahlungsZeitplan[[#This Row],[GESAMTZAHLUNG]]-ZahlungsZeitplan[[#This Row],[ZINSEN]],"")</f>
        <v>527.78209112686113</v>
      </c>
      <c r="I92" s="195">
        <f ca="1">IF(ZahlungsZeitplan[[#This Row],['#]]&lt;=($D$8*12),IF(ZahlungsZeitplan[[#This Row],['#]]&lt;&gt;"",ZahlungsZeitplan[[#This Row],[ANFANGSSALDO]]*(ZinsSatz/ZahlungenProJahr),""),IF(ZahlungsZeitplan[[#This Row],['#]]&lt;&gt;"",ZahlungsZeitplan[[#This Row],[ANFANGSSALDO]]*((ZinsSatz+$D$9)/ZahlungenProJahr),""))</f>
        <v>117.51364347419762</v>
      </c>
      <c r="J92" s="195">
        <f ca="1">IF(ZahlungsZeitplan[[#This Row],['#]]&lt;&gt;"",IF(ZahlungsZeitplan[[#This Row],[Zahlungen (Plan)]]+ZahlungsZeitplan[[#This Row],[SONDERZAHLUNG]]&lt;=ZahlungsZeitplan[[#This Row],[ANFANGSSALDO]],ZahlungsZeitplan[[#This Row],[ANFANGSSALDO]]-ZahlungsZeitplan[[#This Row],[KAPITAL]],0),"")</f>
        <v>94114.078425005442</v>
      </c>
      <c r="K92" s="195">
        <f ca="1">IF(ZahlungsZeitplan[[#This Row],['#]]&lt;&gt;"",SUM(INDEX(ZahlungsZeitplan[ZINSEN],1,1):ZahlungsZeitplan[[#This Row],[ZINSEN]]),"")</f>
        <v>11237.441458489033</v>
      </c>
    </row>
    <row r="93" spans="2:11">
      <c r="B93" s="193">
        <f ca="1">IF(DarlehenIstGut,IF(ROW()-ROW(ZahlungsZeitplan[[#Headers],['#]])&gt;PlanmäßigeAnzahlZahlungen,"",ROW()-ROW(ZahlungsZeitplan[[#Headers],['#]])),"")</f>
        <v>80</v>
      </c>
      <c r="C93" s="194">
        <f ca="1">IF(ZahlungsZeitplan[[#This Row],['#]]&lt;&gt;"",EOMONTH(DarlehensAnfangsDatum,ROW(ZahlungsZeitplan[[#This Row],['#]])-ROW(ZahlungsZeitplan[[#Headers],['#]])-2)+DAY(DarlehensAnfangsDatum),"")</f>
        <v>47730</v>
      </c>
      <c r="D93" s="195">
        <f ca="1">IF(ZahlungsZeitplan[[#This Row],['#]]&lt;&gt;"",IF(ROW()-ROW(ZahlungsZeitplan[[#Headers],[ANFANGSSALDO]])=1,DarlehensBetrag,INDEX(ZahlungsZeitplan[ENDSALDO],ROW()-ROW(ZahlungsZeitplan[[#Headers],[ANFANGSSALDO]])-1)),"")</f>
        <v>94114.078425005442</v>
      </c>
      <c r="E93" s="195">
        <f ca="1">IF(ZahlungsZeitplan[[#This Row],['#]]&lt;&gt;"",PlanmäßigeZahlung,"")</f>
        <v>645.29573460105871</v>
      </c>
      <c r="F9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3" s="195">
        <f ca="1">IF(ZahlungsZeitplan[[#This Row],['#]]&lt;&gt;"",ZahlungsZeitplan[[#This Row],[GESAMTZAHLUNG]]-ZahlungsZeitplan[[#This Row],[ZINSEN]],"")</f>
        <v>528.4374205566769</v>
      </c>
      <c r="I93" s="195">
        <f ca="1">IF(ZahlungsZeitplan[[#This Row],['#]]&lt;=($D$8*12),IF(ZahlungsZeitplan[[#This Row],['#]]&lt;&gt;"",ZahlungsZeitplan[[#This Row],[ANFANGSSALDO]]*(ZinsSatz/ZahlungenProJahr),""),IF(ZahlungsZeitplan[[#This Row],['#]]&lt;&gt;"",ZahlungsZeitplan[[#This Row],[ANFANGSSALDO]]*((ZinsSatz+$D$9)/ZahlungenProJahr),""))</f>
        <v>116.85831404438177</v>
      </c>
      <c r="J93" s="195">
        <f ca="1">IF(ZahlungsZeitplan[[#This Row],['#]]&lt;&gt;"",IF(ZahlungsZeitplan[[#This Row],[Zahlungen (Plan)]]+ZahlungsZeitplan[[#This Row],[SONDERZAHLUNG]]&lt;=ZahlungsZeitplan[[#This Row],[ANFANGSSALDO]],ZahlungsZeitplan[[#This Row],[ANFANGSSALDO]]-ZahlungsZeitplan[[#This Row],[KAPITAL]],0),"")</f>
        <v>93585.641004448771</v>
      </c>
      <c r="K93" s="195">
        <f ca="1">IF(ZahlungsZeitplan[[#This Row],['#]]&lt;&gt;"",SUM(INDEX(ZahlungsZeitplan[ZINSEN],1,1):ZahlungsZeitplan[[#This Row],[ZINSEN]]),"")</f>
        <v>11354.299772533415</v>
      </c>
    </row>
    <row r="94" spans="2:11">
      <c r="B94" s="193">
        <f ca="1">IF(DarlehenIstGut,IF(ROW()-ROW(ZahlungsZeitplan[[#Headers],['#]])&gt;PlanmäßigeAnzahlZahlungen,"",ROW()-ROW(ZahlungsZeitplan[[#Headers],['#]])),"")</f>
        <v>81</v>
      </c>
      <c r="C94" s="194">
        <f ca="1">IF(ZahlungsZeitplan[[#This Row],['#]]&lt;&gt;"",EOMONTH(DarlehensAnfangsDatum,ROW(ZahlungsZeitplan[[#This Row],['#]])-ROW(ZahlungsZeitplan[[#Headers],['#]])-2)+DAY(DarlehensAnfangsDatum),"")</f>
        <v>47760</v>
      </c>
      <c r="D94" s="195">
        <f ca="1">IF(ZahlungsZeitplan[[#This Row],['#]]&lt;&gt;"",IF(ROW()-ROW(ZahlungsZeitplan[[#Headers],[ANFANGSSALDO]])=1,DarlehensBetrag,INDEX(ZahlungsZeitplan[ENDSALDO],ROW()-ROW(ZahlungsZeitplan[[#Headers],[ANFANGSSALDO]])-1)),"")</f>
        <v>93585.641004448771</v>
      </c>
      <c r="E94" s="195">
        <f ca="1">IF(ZahlungsZeitplan[[#This Row],['#]]&lt;&gt;"",PlanmäßigeZahlung,"")</f>
        <v>645.29573460105871</v>
      </c>
      <c r="F9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4" s="195">
        <f ca="1">IF(ZahlungsZeitplan[[#This Row],['#]]&lt;&gt;"",ZahlungsZeitplan[[#This Row],[GESAMTZAHLUNG]]-ZahlungsZeitplan[[#This Row],[ZINSEN]],"")</f>
        <v>529.09356368720148</v>
      </c>
      <c r="I94" s="195">
        <f ca="1">IF(ZahlungsZeitplan[[#This Row],['#]]&lt;=($D$8*12),IF(ZahlungsZeitplan[[#This Row],['#]]&lt;&gt;"",ZahlungsZeitplan[[#This Row],[ANFANGSSALDO]]*(ZinsSatz/ZahlungenProJahr),""),IF(ZahlungsZeitplan[[#This Row],['#]]&lt;&gt;"",ZahlungsZeitplan[[#This Row],[ANFANGSSALDO]]*((ZinsSatz+$D$9)/ZahlungenProJahr),""))</f>
        <v>116.20217091385723</v>
      </c>
      <c r="J94" s="195">
        <f ca="1">IF(ZahlungsZeitplan[[#This Row],['#]]&lt;&gt;"",IF(ZahlungsZeitplan[[#This Row],[Zahlungen (Plan)]]+ZahlungsZeitplan[[#This Row],[SONDERZAHLUNG]]&lt;=ZahlungsZeitplan[[#This Row],[ANFANGSSALDO]],ZahlungsZeitplan[[#This Row],[ANFANGSSALDO]]-ZahlungsZeitplan[[#This Row],[KAPITAL]],0),"")</f>
        <v>93056.547440761569</v>
      </c>
      <c r="K94" s="195">
        <f ca="1">IF(ZahlungsZeitplan[[#This Row],['#]]&lt;&gt;"",SUM(INDEX(ZahlungsZeitplan[ZINSEN],1,1):ZahlungsZeitplan[[#This Row],[ZINSEN]]),"")</f>
        <v>11470.501943447272</v>
      </c>
    </row>
    <row r="95" spans="2:11">
      <c r="B95" s="193">
        <f ca="1">IF(DarlehenIstGut,IF(ROW()-ROW(ZahlungsZeitplan[[#Headers],['#]])&gt;PlanmäßigeAnzahlZahlungen,"",ROW()-ROW(ZahlungsZeitplan[[#Headers],['#]])),"")</f>
        <v>82</v>
      </c>
      <c r="C95" s="194">
        <f ca="1">IF(ZahlungsZeitplan[[#This Row],['#]]&lt;&gt;"",EOMONTH(DarlehensAnfangsDatum,ROW(ZahlungsZeitplan[[#This Row],['#]])-ROW(ZahlungsZeitplan[[#Headers],['#]])-2)+DAY(DarlehensAnfangsDatum),"")</f>
        <v>47791</v>
      </c>
      <c r="D95" s="195">
        <f ca="1">IF(ZahlungsZeitplan[[#This Row],['#]]&lt;&gt;"",IF(ROW()-ROW(ZahlungsZeitplan[[#Headers],[ANFANGSSALDO]])=1,DarlehensBetrag,INDEX(ZahlungsZeitplan[ENDSALDO],ROW()-ROW(ZahlungsZeitplan[[#Headers],[ANFANGSSALDO]])-1)),"")</f>
        <v>93056.547440761569</v>
      </c>
      <c r="E95" s="195">
        <f ca="1">IF(ZahlungsZeitplan[[#This Row],['#]]&lt;&gt;"",PlanmäßigeZahlung,"")</f>
        <v>645.29573460105871</v>
      </c>
      <c r="F9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5" s="195">
        <f ca="1">IF(ZahlungsZeitplan[[#This Row],['#]]&lt;&gt;"",ZahlungsZeitplan[[#This Row],[GESAMTZAHLUNG]]-ZahlungsZeitplan[[#This Row],[ZINSEN]],"")</f>
        <v>529.7505215287797</v>
      </c>
      <c r="I95" s="195">
        <f ca="1">IF(ZahlungsZeitplan[[#This Row],['#]]&lt;=($D$8*12),IF(ZahlungsZeitplan[[#This Row],['#]]&lt;&gt;"",ZahlungsZeitplan[[#This Row],[ANFANGSSALDO]]*(ZinsSatz/ZahlungenProJahr),""),IF(ZahlungsZeitplan[[#This Row],['#]]&lt;&gt;"",ZahlungsZeitplan[[#This Row],[ANFANGSSALDO]]*((ZinsSatz+$D$9)/ZahlungenProJahr),""))</f>
        <v>115.54521307227895</v>
      </c>
      <c r="J95" s="195">
        <f ca="1">IF(ZahlungsZeitplan[[#This Row],['#]]&lt;&gt;"",IF(ZahlungsZeitplan[[#This Row],[Zahlungen (Plan)]]+ZahlungsZeitplan[[#This Row],[SONDERZAHLUNG]]&lt;=ZahlungsZeitplan[[#This Row],[ANFANGSSALDO]],ZahlungsZeitplan[[#This Row],[ANFANGSSALDO]]-ZahlungsZeitplan[[#This Row],[KAPITAL]],0),"")</f>
        <v>92526.796919232787</v>
      </c>
      <c r="K95" s="195">
        <f ca="1">IF(ZahlungsZeitplan[[#This Row],['#]]&lt;&gt;"",SUM(INDEX(ZahlungsZeitplan[ZINSEN],1,1):ZahlungsZeitplan[[#This Row],[ZINSEN]]),"")</f>
        <v>11586.047156519551</v>
      </c>
    </row>
    <row r="96" spans="2:11">
      <c r="B96" s="193">
        <f ca="1">IF(DarlehenIstGut,IF(ROW()-ROW(ZahlungsZeitplan[[#Headers],['#]])&gt;PlanmäßigeAnzahlZahlungen,"",ROW()-ROW(ZahlungsZeitplan[[#Headers],['#]])),"")</f>
        <v>83</v>
      </c>
      <c r="C96" s="194">
        <f ca="1">IF(ZahlungsZeitplan[[#This Row],['#]]&lt;&gt;"",EOMONTH(DarlehensAnfangsDatum,ROW(ZahlungsZeitplan[[#This Row],['#]])-ROW(ZahlungsZeitplan[[#Headers],['#]])-2)+DAY(DarlehensAnfangsDatum),"")</f>
        <v>47821</v>
      </c>
      <c r="D96" s="195">
        <f ca="1">IF(ZahlungsZeitplan[[#This Row],['#]]&lt;&gt;"",IF(ROW()-ROW(ZahlungsZeitplan[[#Headers],[ANFANGSSALDO]])=1,DarlehensBetrag,INDEX(ZahlungsZeitplan[ENDSALDO],ROW()-ROW(ZahlungsZeitplan[[#Headers],[ANFANGSSALDO]])-1)),"")</f>
        <v>92526.796919232787</v>
      </c>
      <c r="E96" s="195">
        <f ca="1">IF(ZahlungsZeitplan[[#This Row],['#]]&lt;&gt;"",PlanmäßigeZahlung,"")</f>
        <v>645.29573460105871</v>
      </c>
      <c r="F9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6" s="195">
        <f ca="1">IF(ZahlungsZeitplan[[#This Row],['#]]&lt;&gt;"",ZahlungsZeitplan[[#This Row],[GESAMTZAHLUNG]]-ZahlungsZeitplan[[#This Row],[ZINSEN]],"")</f>
        <v>530.40829509301136</v>
      </c>
      <c r="I96" s="195">
        <f ca="1">IF(ZahlungsZeitplan[[#This Row],['#]]&lt;=($D$8*12),IF(ZahlungsZeitplan[[#This Row],['#]]&lt;&gt;"",ZahlungsZeitplan[[#This Row],[ANFANGSSALDO]]*(ZinsSatz/ZahlungenProJahr),""),IF(ZahlungsZeitplan[[#This Row],['#]]&lt;&gt;"",ZahlungsZeitplan[[#This Row],[ANFANGSSALDO]]*((ZinsSatz+$D$9)/ZahlungenProJahr),""))</f>
        <v>114.88743950804738</v>
      </c>
      <c r="J96" s="195">
        <f ca="1">IF(ZahlungsZeitplan[[#This Row],['#]]&lt;&gt;"",IF(ZahlungsZeitplan[[#This Row],[Zahlungen (Plan)]]+ZahlungsZeitplan[[#This Row],[SONDERZAHLUNG]]&lt;=ZahlungsZeitplan[[#This Row],[ANFANGSSALDO]],ZahlungsZeitplan[[#This Row],[ANFANGSSALDO]]-ZahlungsZeitplan[[#This Row],[KAPITAL]],0),"")</f>
        <v>91996.38862413977</v>
      </c>
      <c r="K96" s="195">
        <f ca="1">IF(ZahlungsZeitplan[[#This Row],['#]]&lt;&gt;"",SUM(INDEX(ZahlungsZeitplan[ZINSEN],1,1):ZahlungsZeitplan[[#This Row],[ZINSEN]]),"")</f>
        <v>11700.934596027599</v>
      </c>
    </row>
    <row r="97" spans="2:11">
      <c r="B97" s="193">
        <f ca="1">IF(DarlehenIstGut,IF(ROW()-ROW(ZahlungsZeitplan[[#Headers],['#]])&gt;PlanmäßigeAnzahlZahlungen,"",ROW()-ROW(ZahlungsZeitplan[[#Headers],['#]])),"")</f>
        <v>84</v>
      </c>
      <c r="C97" s="194">
        <f ca="1">IF(ZahlungsZeitplan[[#This Row],['#]]&lt;&gt;"",EOMONTH(DarlehensAnfangsDatum,ROW(ZahlungsZeitplan[[#This Row],['#]])-ROW(ZahlungsZeitplan[[#Headers],['#]])-2)+DAY(DarlehensAnfangsDatum),"")</f>
        <v>47852</v>
      </c>
      <c r="D97" s="195">
        <f ca="1">IF(ZahlungsZeitplan[[#This Row],['#]]&lt;&gt;"",IF(ROW()-ROW(ZahlungsZeitplan[[#Headers],[ANFANGSSALDO]])=1,DarlehensBetrag,INDEX(ZahlungsZeitplan[ENDSALDO],ROW()-ROW(ZahlungsZeitplan[[#Headers],[ANFANGSSALDO]])-1)),"")</f>
        <v>91996.38862413977</v>
      </c>
      <c r="E97" s="195">
        <f ca="1">IF(ZahlungsZeitplan[[#This Row],['#]]&lt;&gt;"",PlanmäßigeZahlung,"")</f>
        <v>645.29573460105871</v>
      </c>
      <c r="F9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7" s="195">
        <f ca="1">IF(ZahlungsZeitplan[[#This Row],['#]]&lt;&gt;"",ZahlungsZeitplan[[#This Row],[GESAMTZAHLUNG]]-ZahlungsZeitplan[[#This Row],[ZINSEN]],"")</f>
        <v>531.06688539275183</v>
      </c>
      <c r="I97" s="195">
        <f ca="1">IF(ZahlungsZeitplan[[#This Row],['#]]&lt;=($D$8*12),IF(ZahlungsZeitplan[[#This Row],['#]]&lt;&gt;"",ZahlungsZeitplan[[#This Row],[ANFANGSSALDO]]*(ZinsSatz/ZahlungenProJahr),""),IF(ZahlungsZeitplan[[#This Row],['#]]&lt;&gt;"",ZahlungsZeitplan[[#This Row],[ANFANGSSALDO]]*((ZinsSatz+$D$9)/ZahlungenProJahr),""))</f>
        <v>114.22884920830688</v>
      </c>
      <c r="J97" s="195">
        <f ca="1">IF(ZahlungsZeitplan[[#This Row],['#]]&lt;&gt;"",IF(ZahlungsZeitplan[[#This Row],[Zahlungen (Plan)]]+ZahlungsZeitplan[[#This Row],[SONDERZAHLUNG]]&lt;=ZahlungsZeitplan[[#This Row],[ANFANGSSALDO]],ZahlungsZeitplan[[#This Row],[ANFANGSSALDO]]-ZahlungsZeitplan[[#This Row],[KAPITAL]],0),"")</f>
        <v>91465.321738747021</v>
      </c>
      <c r="K97" s="195">
        <f ca="1">IF(ZahlungsZeitplan[[#This Row],['#]]&lt;&gt;"",SUM(INDEX(ZahlungsZeitplan[ZINSEN],1,1):ZahlungsZeitplan[[#This Row],[ZINSEN]]),"")</f>
        <v>11815.163445235905</v>
      </c>
    </row>
    <row r="98" spans="2:11">
      <c r="B98" s="193">
        <f ca="1">IF(DarlehenIstGut,IF(ROW()-ROW(ZahlungsZeitplan[[#Headers],['#]])&gt;PlanmäßigeAnzahlZahlungen,"",ROW()-ROW(ZahlungsZeitplan[[#Headers],['#]])),"")</f>
        <v>85</v>
      </c>
      <c r="C98" s="194">
        <f ca="1">IF(ZahlungsZeitplan[[#This Row],['#]]&lt;&gt;"",EOMONTH(DarlehensAnfangsDatum,ROW(ZahlungsZeitplan[[#This Row],['#]])-ROW(ZahlungsZeitplan[[#Headers],['#]])-2)+DAY(DarlehensAnfangsDatum),"")</f>
        <v>47883</v>
      </c>
      <c r="D98" s="195">
        <f ca="1">IF(ZahlungsZeitplan[[#This Row],['#]]&lt;&gt;"",IF(ROW()-ROW(ZahlungsZeitplan[[#Headers],[ANFANGSSALDO]])=1,DarlehensBetrag,INDEX(ZahlungsZeitplan[ENDSALDO],ROW()-ROW(ZahlungsZeitplan[[#Headers],[ANFANGSSALDO]])-1)),"")</f>
        <v>91465.321738747021</v>
      </c>
      <c r="E98" s="195">
        <f ca="1">IF(ZahlungsZeitplan[[#This Row],['#]]&lt;&gt;"",PlanmäßigeZahlung,"")</f>
        <v>645.29573460105871</v>
      </c>
      <c r="F9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8" s="195">
        <f ca="1">IF(ZahlungsZeitplan[[#This Row],['#]]&lt;&gt;"",ZahlungsZeitplan[[#This Row],[GESAMTZAHLUNG]]-ZahlungsZeitplan[[#This Row],[ZINSEN]],"")</f>
        <v>531.72629344211452</v>
      </c>
      <c r="I98" s="195">
        <f ca="1">IF(ZahlungsZeitplan[[#This Row],['#]]&lt;=($D$8*12),IF(ZahlungsZeitplan[[#This Row],['#]]&lt;&gt;"",ZahlungsZeitplan[[#This Row],[ANFANGSSALDO]]*(ZinsSatz/ZahlungenProJahr),""),IF(ZahlungsZeitplan[[#This Row],['#]]&lt;&gt;"",ZahlungsZeitplan[[#This Row],[ANFANGSSALDO]]*((ZinsSatz+$D$9)/ZahlungenProJahr),""))</f>
        <v>113.56944115894423</v>
      </c>
      <c r="J98" s="195">
        <f ca="1">IF(ZahlungsZeitplan[[#This Row],['#]]&lt;&gt;"",IF(ZahlungsZeitplan[[#This Row],[Zahlungen (Plan)]]+ZahlungsZeitplan[[#This Row],[SONDERZAHLUNG]]&lt;=ZahlungsZeitplan[[#This Row],[ANFANGSSALDO]],ZahlungsZeitplan[[#This Row],[ANFANGSSALDO]]-ZahlungsZeitplan[[#This Row],[KAPITAL]],0),"")</f>
        <v>90933.595445304905</v>
      </c>
      <c r="K98" s="195">
        <f ca="1">IF(ZahlungsZeitplan[[#This Row],['#]]&lt;&gt;"",SUM(INDEX(ZahlungsZeitplan[ZINSEN],1,1):ZahlungsZeitplan[[#This Row],[ZINSEN]]),"")</f>
        <v>11928.73288639485</v>
      </c>
    </row>
    <row r="99" spans="2:11">
      <c r="B99" s="193">
        <f ca="1">IF(DarlehenIstGut,IF(ROW()-ROW(ZahlungsZeitplan[[#Headers],['#]])&gt;PlanmäßigeAnzahlZahlungen,"",ROW()-ROW(ZahlungsZeitplan[[#Headers],['#]])),"")</f>
        <v>86</v>
      </c>
      <c r="C99" s="194">
        <f ca="1">IF(ZahlungsZeitplan[[#This Row],['#]]&lt;&gt;"",EOMONTH(DarlehensAnfangsDatum,ROW(ZahlungsZeitplan[[#This Row],['#]])-ROW(ZahlungsZeitplan[[#Headers],['#]])-2)+DAY(DarlehensAnfangsDatum),"")</f>
        <v>47911</v>
      </c>
      <c r="D99" s="195">
        <f ca="1">IF(ZahlungsZeitplan[[#This Row],['#]]&lt;&gt;"",IF(ROW()-ROW(ZahlungsZeitplan[[#Headers],[ANFANGSSALDO]])=1,DarlehensBetrag,INDEX(ZahlungsZeitplan[ENDSALDO],ROW()-ROW(ZahlungsZeitplan[[#Headers],[ANFANGSSALDO]])-1)),"")</f>
        <v>90933.595445304905</v>
      </c>
      <c r="E99" s="195">
        <f ca="1">IF(ZahlungsZeitplan[[#This Row],['#]]&lt;&gt;"",PlanmäßigeZahlung,"")</f>
        <v>645.29573460105871</v>
      </c>
      <c r="F9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9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99" s="195">
        <f ca="1">IF(ZahlungsZeitplan[[#This Row],['#]]&lt;&gt;"",ZahlungsZeitplan[[#This Row],[GESAMTZAHLUNG]]-ZahlungsZeitplan[[#This Row],[ZINSEN]],"")</f>
        <v>532.38652025647184</v>
      </c>
      <c r="I99" s="195">
        <f ca="1">IF(ZahlungsZeitplan[[#This Row],['#]]&lt;=($D$8*12),IF(ZahlungsZeitplan[[#This Row],['#]]&lt;&gt;"",ZahlungsZeitplan[[#This Row],[ANFANGSSALDO]]*(ZinsSatz/ZahlungenProJahr),""),IF(ZahlungsZeitplan[[#This Row],['#]]&lt;&gt;"",ZahlungsZeitplan[[#This Row],[ANFANGSSALDO]]*((ZinsSatz+$D$9)/ZahlungenProJahr),""))</f>
        <v>112.90921434458693</v>
      </c>
      <c r="J99" s="195">
        <f ca="1">IF(ZahlungsZeitplan[[#This Row],['#]]&lt;&gt;"",IF(ZahlungsZeitplan[[#This Row],[Zahlungen (Plan)]]+ZahlungsZeitplan[[#This Row],[SONDERZAHLUNG]]&lt;=ZahlungsZeitplan[[#This Row],[ANFANGSSALDO]],ZahlungsZeitplan[[#This Row],[ANFANGSSALDO]]-ZahlungsZeitplan[[#This Row],[KAPITAL]],0),"")</f>
        <v>90401.208925048428</v>
      </c>
      <c r="K99" s="195">
        <f ca="1">IF(ZahlungsZeitplan[[#This Row],['#]]&lt;&gt;"",SUM(INDEX(ZahlungsZeitplan[ZINSEN],1,1):ZahlungsZeitplan[[#This Row],[ZINSEN]]),"")</f>
        <v>12041.642100739437</v>
      </c>
    </row>
    <row r="100" spans="2:11">
      <c r="B100" s="193">
        <f ca="1">IF(DarlehenIstGut,IF(ROW()-ROW(ZahlungsZeitplan[[#Headers],['#]])&gt;PlanmäßigeAnzahlZahlungen,"",ROW()-ROW(ZahlungsZeitplan[[#Headers],['#]])),"")</f>
        <v>87</v>
      </c>
      <c r="C100" s="194">
        <f ca="1">IF(ZahlungsZeitplan[[#This Row],['#]]&lt;&gt;"",EOMONTH(DarlehensAnfangsDatum,ROW(ZahlungsZeitplan[[#This Row],['#]])-ROW(ZahlungsZeitplan[[#Headers],['#]])-2)+DAY(DarlehensAnfangsDatum),"")</f>
        <v>47942</v>
      </c>
      <c r="D100" s="195">
        <f ca="1">IF(ZahlungsZeitplan[[#This Row],['#]]&lt;&gt;"",IF(ROW()-ROW(ZahlungsZeitplan[[#Headers],[ANFANGSSALDO]])=1,DarlehensBetrag,INDEX(ZahlungsZeitplan[ENDSALDO],ROW()-ROW(ZahlungsZeitplan[[#Headers],[ANFANGSSALDO]])-1)),"")</f>
        <v>90401.208925048428</v>
      </c>
      <c r="E100" s="195">
        <f ca="1">IF(ZahlungsZeitplan[[#This Row],['#]]&lt;&gt;"",PlanmäßigeZahlung,"")</f>
        <v>645.29573460105871</v>
      </c>
      <c r="F10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0" s="195">
        <f ca="1">IF(ZahlungsZeitplan[[#This Row],['#]]&lt;&gt;"",ZahlungsZeitplan[[#This Row],[GESAMTZAHLUNG]]-ZahlungsZeitplan[[#This Row],[ZINSEN]],"")</f>
        <v>533.04756685245695</v>
      </c>
      <c r="I100" s="195">
        <f ca="1">IF(ZahlungsZeitplan[[#This Row],['#]]&lt;=($D$8*12),IF(ZahlungsZeitplan[[#This Row],['#]]&lt;&gt;"",ZahlungsZeitplan[[#This Row],[ANFANGSSALDO]]*(ZinsSatz/ZahlungenProJahr),""),IF(ZahlungsZeitplan[[#This Row],['#]]&lt;&gt;"",ZahlungsZeitplan[[#This Row],[ANFANGSSALDO]]*((ZinsSatz+$D$9)/ZahlungenProJahr),""))</f>
        <v>112.2481677486018</v>
      </c>
      <c r="J100" s="195">
        <f ca="1">IF(ZahlungsZeitplan[[#This Row],['#]]&lt;&gt;"",IF(ZahlungsZeitplan[[#This Row],[Zahlungen (Plan)]]+ZahlungsZeitplan[[#This Row],[SONDERZAHLUNG]]&lt;=ZahlungsZeitplan[[#This Row],[ANFANGSSALDO]],ZahlungsZeitplan[[#This Row],[ANFANGSSALDO]]-ZahlungsZeitplan[[#This Row],[KAPITAL]],0),"")</f>
        <v>89868.161358195968</v>
      </c>
      <c r="K100" s="195">
        <f ca="1">IF(ZahlungsZeitplan[[#This Row],['#]]&lt;&gt;"",SUM(INDEX(ZahlungsZeitplan[ZINSEN],1,1):ZahlungsZeitplan[[#This Row],[ZINSEN]]),"")</f>
        <v>12153.890268488038</v>
      </c>
    </row>
    <row r="101" spans="2:11">
      <c r="B101" s="193">
        <f ca="1">IF(DarlehenIstGut,IF(ROW()-ROW(ZahlungsZeitplan[[#Headers],['#]])&gt;PlanmäßigeAnzahlZahlungen,"",ROW()-ROW(ZahlungsZeitplan[[#Headers],['#]])),"")</f>
        <v>88</v>
      </c>
      <c r="C101" s="194">
        <f ca="1">IF(ZahlungsZeitplan[[#This Row],['#]]&lt;&gt;"",EOMONTH(DarlehensAnfangsDatum,ROW(ZahlungsZeitplan[[#This Row],['#]])-ROW(ZahlungsZeitplan[[#Headers],['#]])-2)+DAY(DarlehensAnfangsDatum),"")</f>
        <v>47972</v>
      </c>
      <c r="D101" s="195">
        <f ca="1">IF(ZahlungsZeitplan[[#This Row],['#]]&lt;&gt;"",IF(ROW()-ROW(ZahlungsZeitplan[[#Headers],[ANFANGSSALDO]])=1,DarlehensBetrag,INDEX(ZahlungsZeitplan[ENDSALDO],ROW()-ROW(ZahlungsZeitplan[[#Headers],[ANFANGSSALDO]])-1)),"")</f>
        <v>89868.161358195968</v>
      </c>
      <c r="E101" s="195">
        <f ca="1">IF(ZahlungsZeitplan[[#This Row],['#]]&lt;&gt;"",PlanmäßigeZahlung,"")</f>
        <v>645.29573460105871</v>
      </c>
      <c r="F10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1" s="195">
        <f ca="1">IF(ZahlungsZeitplan[[#This Row],['#]]&lt;&gt;"",ZahlungsZeitplan[[#This Row],[GESAMTZAHLUNG]]-ZahlungsZeitplan[[#This Row],[ZINSEN]],"")</f>
        <v>533.70943424796542</v>
      </c>
      <c r="I101" s="195">
        <f ca="1">IF(ZahlungsZeitplan[[#This Row],['#]]&lt;=($D$8*12),IF(ZahlungsZeitplan[[#This Row],['#]]&lt;&gt;"",ZahlungsZeitplan[[#This Row],[ANFANGSSALDO]]*(ZinsSatz/ZahlungenProJahr),""),IF(ZahlungsZeitplan[[#This Row],['#]]&lt;&gt;"",ZahlungsZeitplan[[#This Row],[ANFANGSSALDO]]*((ZinsSatz+$D$9)/ZahlungenProJahr),""))</f>
        <v>111.58630035309334</v>
      </c>
      <c r="J101" s="195">
        <f ca="1">IF(ZahlungsZeitplan[[#This Row],['#]]&lt;&gt;"",IF(ZahlungsZeitplan[[#This Row],[Zahlungen (Plan)]]+ZahlungsZeitplan[[#This Row],[SONDERZAHLUNG]]&lt;=ZahlungsZeitplan[[#This Row],[ANFANGSSALDO]],ZahlungsZeitplan[[#This Row],[ANFANGSSALDO]]-ZahlungsZeitplan[[#This Row],[KAPITAL]],0),"")</f>
        <v>89334.451923948</v>
      </c>
      <c r="K101" s="195">
        <f ca="1">IF(ZahlungsZeitplan[[#This Row],['#]]&lt;&gt;"",SUM(INDEX(ZahlungsZeitplan[ZINSEN],1,1):ZahlungsZeitplan[[#This Row],[ZINSEN]]),"")</f>
        <v>12265.476568841132</v>
      </c>
    </row>
    <row r="102" spans="2:11">
      <c r="B102" s="193">
        <f ca="1">IF(DarlehenIstGut,IF(ROW()-ROW(ZahlungsZeitplan[[#Headers],['#]])&gt;PlanmäßigeAnzahlZahlungen,"",ROW()-ROW(ZahlungsZeitplan[[#Headers],['#]])),"")</f>
        <v>89</v>
      </c>
      <c r="C102" s="194">
        <f ca="1">IF(ZahlungsZeitplan[[#This Row],['#]]&lt;&gt;"",EOMONTH(DarlehensAnfangsDatum,ROW(ZahlungsZeitplan[[#This Row],['#]])-ROW(ZahlungsZeitplan[[#Headers],['#]])-2)+DAY(DarlehensAnfangsDatum),"")</f>
        <v>48003</v>
      </c>
      <c r="D102" s="195">
        <f ca="1">IF(ZahlungsZeitplan[[#This Row],['#]]&lt;&gt;"",IF(ROW()-ROW(ZahlungsZeitplan[[#Headers],[ANFANGSSALDO]])=1,DarlehensBetrag,INDEX(ZahlungsZeitplan[ENDSALDO],ROW()-ROW(ZahlungsZeitplan[[#Headers],[ANFANGSSALDO]])-1)),"")</f>
        <v>89334.451923948</v>
      </c>
      <c r="E102" s="195">
        <f ca="1">IF(ZahlungsZeitplan[[#This Row],['#]]&lt;&gt;"",PlanmäßigeZahlung,"")</f>
        <v>645.29573460105871</v>
      </c>
      <c r="F10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2" s="195">
        <f ca="1">IF(ZahlungsZeitplan[[#This Row],['#]]&lt;&gt;"",ZahlungsZeitplan[[#This Row],[GESAMTZAHLUNG]]-ZahlungsZeitplan[[#This Row],[ZINSEN]],"")</f>
        <v>534.37212346215665</v>
      </c>
      <c r="I102" s="195">
        <f ca="1">IF(ZahlungsZeitplan[[#This Row],['#]]&lt;=($D$8*12),IF(ZahlungsZeitplan[[#This Row],['#]]&lt;&gt;"",ZahlungsZeitplan[[#This Row],[ANFANGSSALDO]]*(ZinsSatz/ZahlungenProJahr),""),IF(ZahlungsZeitplan[[#This Row],['#]]&lt;&gt;"",ZahlungsZeitplan[[#This Row],[ANFANGSSALDO]]*((ZinsSatz+$D$9)/ZahlungenProJahr),""))</f>
        <v>110.9236111389021</v>
      </c>
      <c r="J102" s="195">
        <f ca="1">IF(ZahlungsZeitplan[[#This Row],['#]]&lt;&gt;"",IF(ZahlungsZeitplan[[#This Row],[Zahlungen (Plan)]]+ZahlungsZeitplan[[#This Row],[SONDERZAHLUNG]]&lt;=ZahlungsZeitplan[[#This Row],[ANFANGSSALDO]],ZahlungsZeitplan[[#This Row],[ANFANGSSALDO]]-ZahlungsZeitplan[[#This Row],[KAPITAL]],0),"")</f>
        <v>88800.079800485837</v>
      </c>
      <c r="K102" s="195">
        <f ca="1">IF(ZahlungsZeitplan[[#This Row],['#]]&lt;&gt;"",SUM(INDEX(ZahlungsZeitplan[ZINSEN],1,1):ZahlungsZeitplan[[#This Row],[ZINSEN]]),"")</f>
        <v>12376.400179980033</v>
      </c>
    </row>
    <row r="103" spans="2:11">
      <c r="B103" s="193">
        <f ca="1">IF(DarlehenIstGut,IF(ROW()-ROW(ZahlungsZeitplan[[#Headers],['#]])&gt;PlanmäßigeAnzahlZahlungen,"",ROW()-ROW(ZahlungsZeitplan[[#Headers],['#]])),"")</f>
        <v>90</v>
      </c>
      <c r="C103" s="194">
        <f ca="1">IF(ZahlungsZeitplan[[#This Row],['#]]&lt;&gt;"",EOMONTH(DarlehensAnfangsDatum,ROW(ZahlungsZeitplan[[#This Row],['#]])-ROW(ZahlungsZeitplan[[#Headers],['#]])-2)+DAY(DarlehensAnfangsDatum),"")</f>
        <v>48033</v>
      </c>
      <c r="D103" s="195">
        <f ca="1">IF(ZahlungsZeitplan[[#This Row],['#]]&lt;&gt;"",IF(ROW()-ROW(ZahlungsZeitplan[[#Headers],[ANFANGSSALDO]])=1,DarlehensBetrag,INDEX(ZahlungsZeitplan[ENDSALDO],ROW()-ROW(ZahlungsZeitplan[[#Headers],[ANFANGSSALDO]])-1)),"")</f>
        <v>88800.079800485837</v>
      </c>
      <c r="E103" s="195">
        <f ca="1">IF(ZahlungsZeitplan[[#This Row],['#]]&lt;&gt;"",PlanmäßigeZahlung,"")</f>
        <v>645.29573460105871</v>
      </c>
      <c r="F10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3" s="195">
        <f ca="1">IF(ZahlungsZeitplan[[#This Row],['#]]&lt;&gt;"",ZahlungsZeitplan[[#This Row],[GESAMTZAHLUNG]]-ZahlungsZeitplan[[#This Row],[ZINSEN]],"")</f>
        <v>535.0356355154554</v>
      </c>
      <c r="I103" s="195">
        <f ca="1">IF(ZahlungsZeitplan[[#This Row],['#]]&lt;=($D$8*12),IF(ZahlungsZeitplan[[#This Row],['#]]&lt;&gt;"",ZahlungsZeitplan[[#This Row],[ANFANGSSALDO]]*(ZinsSatz/ZahlungenProJahr),""),IF(ZahlungsZeitplan[[#This Row],['#]]&lt;&gt;"",ZahlungsZeitplan[[#This Row],[ANFANGSSALDO]]*((ZinsSatz+$D$9)/ZahlungenProJahr),""))</f>
        <v>110.26009908560326</v>
      </c>
      <c r="J103" s="195">
        <f ca="1">IF(ZahlungsZeitplan[[#This Row],['#]]&lt;&gt;"",IF(ZahlungsZeitplan[[#This Row],[Zahlungen (Plan)]]+ZahlungsZeitplan[[#This Row],[SONDERZAHLUNG]]&lt;=ZahlungsZeitplan[[#This Row],[ANFANGSSALDO]],ZahlungsZeitplan[[#This Row],[ANFANGSSALDO]]-ZahlungsZeitplan[[#This Row],[KAPITAL]],0),"")</f>
        <v>88265.044164970386</v>
      </c>
      <c r="K103" s="195">
        <f ca="1">IF(ZahlungsZeitplan[[#This Row],['#]]&lt;&gt;"",SUM(INDEX(ZahlungsZeitplan[ZINSEN],1,1):ZahlungsZeitplan[[#This Row],[ZINSEN]]),"")</f>
        <v>12486.660279065636</v>
      </c>
    </row>
    <row r="104" spans="2:11">
      <c r="B104" s="193">
        <f ca="1">IF(DarlehenIstGut,IF(ROW()-ROW(ZahlungsZeitplan[[#Headers],['#]])&gt;PlanmäßigeAnzahlZahlungen,"",ROW()-ROW(ZahlungsZeitplan[[#Headers],['#]])),"")</f>
        <v>91</v>
      </c>
      <c r="C104" s="194">
        <f ca="1">IF(ZahlungsZeitplan[[#This Row],['#]]&lt;&gt;"",EOMONTH(DarlehensAnfangsDatum,ROW(ZahlungsZeitplan[[#This Row],['#]])-ROW(ZahlungsZeitplan[[#Headers],['#]])-2)+DAY(DarlehensAnfangsDatum),"")</f>
        <v>48064</v>
      </c>
      <c r="D104" s="195">
        <f ca="1">IF(ZahlungsZeitplan[[#This Row],['#]]&lt;&gt;"",IF(ROW()-ROW(ZahlungsZeitplan[[#Headers],[ANFANGSSALDO]])=1,DarlehensBetrag,INDEX(ZahlungsZeitplan[ENDSALDO],ROW()-ROW(ZahlungsZeitplan[[#Headers],[ANFANGSSALDO]])-1)),"")</f>
        <v>88265.044164970386</v>
      </c>
      <c r="E104" s="195">
        <f ca="1">IF(ZahlungsZeitplan[[#This Row],['#]]&lt;&gt;"",PlanmäßigeZahlung,"")</f>
        <v>645.29573460105871</v>
      </c>
      <c r="F10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4" s="195">
        <f ca="1">IF(ZahlungsZeitplan[[#This Row],['#]]&lt;&gt;"",ZahlungsZeitplan[[#This Row],[GESAMTZAHLUNG]]-ZahlungsZeitplan[[#This Row],[ZINSEN]],"")</f>
        <v>535.69997142955378</v>
      </c>
      <c r="I104" s="195">
        <f ca="1">IF(ZahlungsZeitplan[[#This Row],['#]]&lt;=($D$8*12),IF(ZahlungsZeitplan[[#This Row],['#]]&lt;&gt;"",ZahlungsZeitplan[[#This Row],[ANFANGSSALDO]]*(ZinsSatz/ZahlungenProJahr),""),IF(ZahlungsZeitplan[[#This Row],['#]]&lt;&gt;"",ZahlungsZeitplan[[#This Row],[ANFANGSSALDO]]*((ZinsSatz+$D$9)/ZahlungenProJahr),""))</f>
        <v>109.5957631715049</v>
      </c>
      <c r="J104" s="195">
        <f ca="1">IF(ZahlungsZeitplan[[#This Row],['#]]&lt;&gt;"",IF(ZahlungsZeitplan[[#This Row],[Zahlungen (Plan)]]+ZahlungsZeitplan[[#This Row],[SONDERZAHLUNG]]&lt;=ZahlungsZeitplan[[#This Row],[ANFANGSSALDO]],ZahlungsZeitplan[[#This Row],[ANFANGSSALDO]]-ZahlungsZeitplan[[#This Row],[KAPITAL]],0),"")</f>
        <v>87729.344193540834</v>
      </c>
      <c r="K104" s="195">
        <f ca="1">IF(ZahlungsZeitplan[[#This Row],['#]]&lt;&gt;"",SUM(INDEX(ZahlungsZeitplan[ZINSEN],1,1):ZahlungsZeitplan[[#This Row],[ZINSEN]]),"")</f>
        <v>12596.256042237141</v>
      </c>
    </row>
    <row r="105" spans="2:11">
      <c r="B105" s="193">
        <f ca="1">IF(DarlehenIstGut,IF(ROW()-ROW(ZahlungsZeitplan[[#Headers],['#]])&gt;PlanmäßigeAnzahlZahlungen,"",ROW()-ROW(ZahlungsZeitplan[[#Headers],['#]])),"")</f>
        <v>92</v>
      </c>
      <c r="C105" s="194">
        <f ca="1">IF(ZahlungsZeitplan[[#This Row],['#]]&lt;&gt;"",EOMONTH(DarlehensAnfangsDatum,ROW(ZahlungsZeitplan[[#This Row],['#]])-ROW(ZahlungsZeitplan[[#Headers],['#]])-2)+DAY(DarlehensAnfangsDatum),"")</f>
        <v>48095</v>
      </c>
      <c r="D105" s="195">
        <f ca="1">IF(ZahlungsZeitplan[[#This Row],['#]]&lt;&gt;"",IF(ROW()-ROW(ZahlungsZeitplan[[#Headers],[ANFANGSSALDO]])=1,DarlehensBetrag,INDEX(ZahlungsZeitplan[ENDSALDO],ROW()-ROW(ZahlungsZeitplan[[#Headers],[ANFANGSSALDO]])-1)),"")</f>
        <v>87729.344193540834</v>
      </c>
      <c r="E105" s="195">
        <f ca="1">IF(ZahlungsZeitplan[[#This Row],['#]]&lt;&gt;"",PlanmäßigeZahlung,"")</f>
        <v>645.29573460105871</v>
      </c>
      <c r="F10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5" s="195">
        <f ca="1">IF(ZahlungsZeitplan[[#This Row],['#]]&lt;&gt;"",ZahlungsZeitplan[[#This Row],[GESAMTZAHLUNG]]-ZahlungsZeitplan[[#This Row],[ZINSEN]],"")</f>
        <v>536.36513222741223</v>
      </c>
      <c r="I105" s="195">
        <f ca="1">IF(ZahlungsZeitplan[[#This Row],['#]]&lt;=($D$8*12),IF(ZahlungsZeitplan[[#This Row],['#]]&lt;&gt;"",ZahlungsZeitplan[[#This Row],[ANFANGSSALDO]]*(ZinsSatz/ZahlungenProJahr),""),IF(ZahlungsZeitplan[[#This Row],['#]]&lt;&gt;"",ZahlungsZeitplan[[#This Row],[ANFANGSSALDO]]*((ZinsSatz+$D$9)/ZahlungenProJahr),""))</f>
        <v>108.93060237364654</v>
      </c>
      <c r="J105" s="195">
        <f ca="1">IF(ZahlungsZeitplan[[#This Row],['#]]&lt;&gt;"",IF(ZahlungsZeitplan[[#This Row],[Zahlungen (Plan)]]+ZahlungsZeitplan[[#This Row],[SONDERZAHLUNG]]&lt;=ZahlungsZeitplan[[#This Row],[ANFANGSSALDO]],ZahlungsZeitplan[[#This Row],[ANFANGSSALDO]]-ZahlungsZeitplan[[#This Row],[KAPITAL]],0),"")</f>
        <v>87192.979061313425</v>
      </c>
      <c r="K105" s="195">
        <f ca="1">IF(ZahlungsZeitplan[[#This Row],['#]]&lt;&gt;"",SUM(INDEX(ZahlungsZeitplan[ZINSEN],1,1):ZahlungsZeitplan[[#This Row],[ZINSEN]]),"")</f>
        <v>12705.186644610787</v>
      </c>
    </row>
    <row r="106" spans="2:11">
      <c r="B106" s="193">
        <f ca="1">IF(DarlehenIstGut,IF(ROW()-ROW(ZahlungsZeitplan[[#Headers],['#]])&gt;PlanmäßigeAnzahlZahlungen,"",ROW()-ROW(ZahlungsZeitplan[[#Headers],['#]])),"")</f>
        <v>93</v>
      </c>
      <c r="C106" s="194">
        <f ca="1">IF(ZahlungsZeitplan[[#This Row],['#]]&lt;&gt;"",EOMONTH(DarlehensAnfangsDatum,ROW(ZahlungsZeitplan[[#This Row],['#]])-ROW(ZahlungsZeitplan[[#Headers],['#]])-2)+DAY(DarlehensAnfangsDatum),"")</f>
        <v>48125</v>
      </c>
      <c r="D106" s="195">
        <f ca="1">IF(ZahlungsZeitplan[[#This Row],['#]]&lt;&gt;"",IF(ROW()-ROW(ZahlungsZeitplan[[#Headers],[ANFANGSSALDO]])=1,DarlehensBetrag,INDEX(ZahlungsZeitplan[ENDSALDO],ROW()-ROW(ZahlungsZeitplan[[#Headers],[ANFANGSSALDO]])-1)),"")</f>
        <v>87192.979061313425</v>
      </c>
      <c r="E106" s="195">
        <f ca="1">IF(ZahlungsZeitplan[[#This Row],['#]]&lt;&gt;"",PlanmäßigeZahlung,"")</f>
        <v>645.29573460105871</v>
      </c>
      <c r="F10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6" s="195">
        <f ca="1">IF(ZahlungsZeitplan[[#This Row],['#]]&lt;&gt;"",ZahlungsZeitplan[[#This Row],[GESAMTZAHLUNG]]-ZahlungsZeitplan[[#This Row],[ZINSEN]],"")</f>
        <v>537.03111893326115</v>
      </c>
      <c r="I106" s="195">
        <f ca="1">IF(ZahlungsZeitplan[[#This Row],['#]]&lt;=($D$8*12),IF(ZahlungsZeitplan[[#This Row],['#]]&lt;&gt;"",ZahlungsZeitplan[[#This Row],[ANFANGSSALDO]]*(ZinsSatz/ZahlungenProJahr),""),IF(ZahlungsZeitplan[[#This Row],['#]]&lt;&gt;"",ZahlungsZeitplan[[#This Row],[ANFANGSSALDO]]*((ZinsSatz+$D$9)/ZahlungenProJahr),""))</f>
        <v>108.26461566779751</v>
      </c>
      <c r="J106" s="195">
        <f ca="1">IF(ZahlungsZeitplan[[#This Row],['#]]&lt;&gt;"",IF(ZahlungsZeitplan[[#This Row],[Zahlungen (Plan)]]+ZahlungsZeitplan[[#This Row],[SONDERZAHLUNG]]&lt;=ZahlungsZeitplan[[#This Row],[ANFANGSSALDO]],ZahlungsZeitplan[[#This Row],[ANFANGSSALDO]]-ZahlungsZeitplan[[#This Row],[KAPITAL]],0),"")</f>
        <v>86655.947942380168</v>
      </c>
      <c r="K106" s="195">
        <f ca="1">IF(ZahlungsZeitplan[[#This Row],['#]]&lt;&gt;"",SUM(INDEX(ZahlungsZeitplan[ZINSEN],1,1):ZahlungsZeitplan[[#This Row],[ZINSEN]]),"")</f>
        <v>12813.451260278585</v>
      </c>
    </row>
    <row r="107" spans="2:11">
      <c r="B107" s="193">
        <f ca="1">IF(DarlehenIstGut,IF(ROW()-ROW(ZahlungsZeitplan[[#Headers],['#]])&gt;PlanmäßigeAnzahlZahlungen,"",ROW()-ROW(ZahlungsZeitplan[[#Headers],['#]])),"")</f>
        <v>94</v>
      </c>
      <c r="C107" s="194">
        <f ca="1">IF(ZahlungsZeitplan[[#This Row],['#]]&lt;&gt;"",EOMONTH(DarlehensAnfangsDatum,ROW(ZahlungsZeitplan[[#This Row],['#]])-ROW(ZahlungsZeitplan[[#Headers],['#]])-2)+DAY(DarlehensAnfangsDatum),"")</f>
        <v>48156</v>
      </c>
      <c r="D107" s="195">
        <f ca="1">IF(ZahlungsZeitplan[[#This Row],['#]]&lt;&gt;"",IF(ROW()-ROW(ZahlungsZeitplan[[#Headers],[ANFANGSSALDO]])=1,DarlehensBetrag,INDEX(ZahlungsZeitplan[ENDSALDO],ROW()-ROW(ZahlungsZeitplan[[#Headers],[ANFANGSSALDO]])-1)),"")</f>
        <v>86655.947942380168</v>
      </c>
      <c r="E107" s="195">
        <f ca="1">IF(ZahlungsZeitplan[[#This Row],['#]]&lt;&gt;"",PlanmäßigeZahlung,"")</f>
        <v>645.29573460105871</v>
      </c>
      <c r="F10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7" s="195">
        <f ca="1">IF(ZahlungsZeitplan[[#This Row],['#]]&lt;&gt;"",ZahlungsZeitplan[[#This Row],[GESAMTZAHLUNG]]-ZahlungsZeitplan[[#This Row],[ZINSEN]],"")</f>
        <v>537.69793257260335</v>
      </c>
      <c r="I107" s="195">
        <f ca="1">IF(ZahlungsZeitplan[[#This Row],['#]]&lt;=($D$8*12),IF(ZahlungsZeitplan[[#This Row],['#]]&lt;&gt;"",ZahlungsZeitplan[[#This Row],[ANFANGSSALDO]]*(ZinsSatz/ZahlungenProJahr),""),IF(ZahlungsZeitplan[[#This Row],['#]]&lt;&gt;"",ZahlungsZeitplan[[#This Row],[ANFANGSSALDO]]*((ZinsSatz+$D$9)/ZahlungenProJahr),""))</f>
        <v>107.59780202845538</v>
      </c>
      <c r="J107" s="195">
        <f ca="1">IF(ZahlungsZeitplan[[#This Row],['#]]&lt;&gt;"",IF(ZahlungsZeitplan[[#This Row],[Zahlungen (Plan)]]+ZahlungsZeitplan[[#This Row],[SONDERZAHLUNG]]&lt;=ZahlungsZeitplan[[#This Row],[ANFANGSSALDO]],ZahlungsZeitplan[[#This Row],[ANFANGSSALDO]]-ZahlungsZeitplan[[#This Row],[KAPITAL]],0),"")</f>
        <v>86118.250009807569</v>
      </c>
      <c r="K107" s="195">
        <f ca="1">IF(ZahlungsZeitplan[[#This Row],['#]]&lt;&gt;"",SUM(INDEX(ZahlungsZeitplan[ZINSEN],1,1):ZahlungsZeitplan[[#This Row],[ZINSEN]]),"")</f>
        <v>12921.04906230704</v>
      </c>
    </row>
    <row r="108" spans="2:11">
      <c r="B108" s="193">
        <f ca="1">IF(DarlehenIstGut,IF(ROW()-ROW(ZahlungsZeitplan[[#Headers],['#]])&gt;PlanmäßigeAnzahlZahlungen,"",ROW()-ROW(ZahlungsZeitplan[[#Headers],['#]])),"")</f>
        <v>95</v>
      </c>
      <c r="C108" s="194">
        <f ca="1">IF(ZahlungsZeitplan[[#This Row],['#]]&lt;&gt;"",EOMONTH(DarlehensAnfangsDatum,ROW(ZahlungsZeitplan[[#This Row],['#]])-ROW(ZahlungsZeitplan[[#Headers],['#]])-2)+DAY(DarlehensAnfangsDatum),"")</f>
        <v>48186</v>
      </c>
      <c r="D108" s="195">
        <f ca="1">IF(ZahlungsZeitplan[[#This Row],['#]]&lt;&gt;"",IF(ROW()-ROW(ZahlungsZeitplan[[#Headers],[ANFANGSSALDO]])=1,DarlehensBetrag,INDEX(ZahlungsZeitplan[ENDSALDO],ROW()-ROW(ZahlungsZeitplan[[#Headers],[ANFANGSSALDO]])-1)),"")</f>
        <v>86118.250009807569</v>
      </c>
      <c r="E108" s="195">
        <f ca="1">IF(ZahlungsZeitplan[[#This Row],['#]]&lt;&gt;"",PlanmäßigeZahlung,"")</f>
        <v>645.29573460105871</v>
      </c>
      <c r="F10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8" s="195">
        <f ca="1">IF(ZahlungsZeitplan[[#This Row],['#]]&lt;&gt;"",ZahlungsZeitplan[[#This Row],[GESAMTZAHLUNG]]-ZahlungsZeitplan[[#This Row],[ZINSEN]],"")</f>
        <v>538.36557417221434</v>
      </c>
      <c r="I108" s="195">
        <f ca="1">IF(ZahlungsZeitplan[[#This Row],['#]]&lt;=($D$8*12),IF(ZahlungsZeitplan[[#This Row],['#]]&lt;&gt;"",ZahlungsZeitplan[[#This Row],[ANFANGSSALDO]]*(ZinsSatz/ZahlungenProJahr),""),IF(ZahlungsZeitplan[[#This Row],['#]]&lt;&gt;"",ZahlungsZeitplan[[#This Row],[ANFANGSSALDO]]*((ZinsSatz+$D$9)/ZahlungenProJahr),""))</f>
        <v>106.9301604288444</v>
      </c>
      <c r="J108" s="195">
        <f ca="1">IF(ZahlungsZeitplan[[#This Row],['#]]&lt;&gt;"",IF(ZahlungsZeitplan[[#This Row],[Zahlungen (Plan)]]+ZahlungsZeitplan[[#This Row],[SONDERZAHLUNG]]&lt;=ZahlungsZeitplan[[#This Row],[ANFANGSSALDO]],ZahlungsZeitplan[[#This Row],[ANFANGSSALDO]]-ZahlungsZeitplan[[#This Row],[KAPITAL]],0),"")</f>
        <v>85579.884435635351</v>
      </c>
      <c r="K108" s="195">
        <f ca="1">IF(ZahlungsZeitplan[[#This Row],['#]]&lt;&gt;"",SUM(INDEX(ZahlungsZeitplan[ZINSEN],1,1):ZahlungsZeitplan[[#This Row],[ZINSEN]]),"")</f>
        <v>13027.979222735885</v>
      </c>
    </row>
    <row r="109" spans="2:11">
      <c r="B109" s="193">
        <f ca="1">IF(DarlehenIstGut,IF(ROW()-ROW(ZahlungsZeitplan[[#Headers],['#]])&gt;PlanmäßigeAnzahlZahlungen,"",ROW()-ROW(ZahlungsZeitplan[[#Headers],['#]])),"")</f>
        <v>96</v>
      </c>
      <c r="C109" s="194">
        <f ca="1">IF(ZahlungsZeitplan[[#This Row],['#]]&lt;&gt;"",EOMONTH(DarlehensAnfangsDatum,ROW(ZahlungsZeitplan[[#This Row],['#]])-ROW(ZahlungsZeitplan[[#Headers],['#]])-2)+DAY(DarlehensAnfangsDatum),"")</f>
        <v>48217</v>
      </c>
      <c r="D109" s="195">
        <f ca="1">IF(ZahlungsZeitplan[[#This Row],['#]]&lt;&gt;"",IF(ROW()-ROW(ZahlungsZeitplan[[#Headers],[ANFANGSSALDO]])=1,DarlehensBetrag,INDEX(ZahlungsZeitplan[ENDSALDO],ROW()-ROW(ZahlungsZeitplan[[#Headers],[ANFANGSSALDO]])-1)),"")</f>
        <v>85579.884435635351</v>
      </c>
      <c r="E109" s="195">
        <f ca="1">IF(ZahlungsZeitplan[[#This Row],['#]]&lt;&gt;"",PlanmäßigeZahlung,"")</f>
        <v>645.29573460105871</v>
      </c>
      <c r="F10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0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09" s="195">
        <f ca="1">IF(ZahlungsZeitplan[[#This Row],['#]]&lt;&gt;"",ZahlungsZeitplan[[#This Row],[GESAMTZAHLUNG]]-ZahlungsZeitplan[[#This Row],[ZINSEN]],"")</f>
        <v>539.03404476014475</v>
      </c>
      <c r="I109" s="195">
        <f ca="1">IF(ZahlungsZeitplan[[#This Row],['#]]&lt;=($D$8*12),IF(ZahlungsZeitplan[[#This Row],['#]]&lt;&gt;"",ZahlungsZeitplan[[#This Row],[ANFANGSSALDO]]*(ZinsSatz/ZahlungenProJahr),""),IF(ZahlungsZeitplan[[#This Row],['#]]&lt;&gt;"",ZahlungsZeitplan[[#This Row],[ANFANGSSALDO]]*((ZinsSatz+$D$9)/ZahlungenProJahr),""))</f>
        <v>106.2616898409139</v>
      </c>
      <c r="J109" s="195">
        <f ca="1">IF(ZahlungsZeitplan[[#This Row],['#]]&lt;&gt;"",IF(ZahlungsZeitplan[[#This Row],[Zahlungen (Plan)]]+ZahlungsZeitplan[[#This Row],[SONDERZAHLUNG]]&lt;=ZahlungsZeitplan[[#This Row],[ANFANGSSALDO]],ZahlungsZeitplan[[#This Row],[ANFANGSSALDO]]-ZahlungsZeitplan[[#This Row],[KAPITAL]],0),"")</f>
        <v>85040.850390875203</v>
      </c>
      <c r="K109" s="195">
        <f ca="1">IF(ZahlungsZeitplan[[#This Row],['#]]&lt;&gt;"",SUM(INDEX(ZahlungsZeitplan[ZINSEN],1,1):ZahlungsZeitplan[[#This Row],[ZINSEN]]),"")</f>
        <v>13134.240912576799</v>
      </c>
    </row>
    <row r="110" spans="2:11">
      <c r="B110" s="193">
        <f ca="1">IF(DarlehenIstGut,IF(ROW()-ROW(ZahlungsZeitplan[[#Headers],['#]])&gt;PlanmäßigeAnzahlZahlungen,"",ROW()-ROW(ZahlungsZeitplan[[#Headers],['#]])),"")</f>
        <v>97</v>
      </c>
      <c r="C110" s="194">
        <f ca="1">IF(ZahlungsZeitplan[[#This Row],['#]]&lt;&gt;"",EOMONTH(DarlehensAnfangsDatum,ROW(ZahlungsZeitplan[[#This Row],['#]])-ROW(ZahlungsZeitplan[[#Headers],['#]])-2)+DAY(DarlehensAnfangsDatum),"")</f>
        <v>48248</v>
      </c>
      <c r="D110" s="195">
        <f ca="1">IF(ZahlungsZeitplan[[#This Row],['#]]&lt;&gt;"",IF(ROW()-ROW(ZahlungsZeitplan[[#Headers],[ANFANGSSALDO]])=1,DarlehensBetrag,INDEX(ZahlungsZeitplan[ENDSALDO],ROW()-ROW(ZahlungsZeitplan[[#Headers],[ANFANGSSALDO]])-1)),"")</f>
        <v>85040.850390875203</v>
      </c>
      <c r="E110" s="195">
        <f ca="1">IF(ZahlungsZeitplan[[#This Row],['#]]&lt;&gt;"",PlanmäßigeZahlung,"")</f>
        <v>645.29573460105871</v>
      </c>
      <c r="F11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0" s="195">
        <f ca="1">IF(ZahlungsZeitplan[[#This Row],['#]]&lt;&gt;"",ZahlungsZeitplan[[#This Row],[GESAMTZAHLUNG]]-ZahlungsZeitplan[[#This Row],[ZINSEN]],"")</f>
        <v>539.70334536572204</v>
      </c>
      <c r="I110" s="195">
        <f ca="1">IF(ZahlungsZeitplan[[#This Row],['#]]&lt;=($D$8*12),IF(ZahlungsZeitplan[[#This Row],['#]]&lt;&gt;"",ZahlungsZeitplan[[#This Row],[ANFANGSSALDO]]*(ZinsSatz/ZahlungenProJahr),""),IF(ZahlungsZeitplan[[#This Row],['#]]&lt;&gt;"",ZahlungsZeitplan[[#This Row],[ANFANGSSALDO]]*((ZinsSatz+$D$9)/ZahlungenProJahr),""))</f>
        <v>105.59238923533671</v>
      </c>
      <c r="J110" s="195">
        <f ca="1">IF(ZahlungsZeitplan[[#This Row],['#]]&lt;&gt;"",IF(ZahlungsZeitplan[[#This Row],[Zahlungen (Plan)]]+ZahlungsZeitplan[[#This Row],[SONDERZAHLUNG]]&lt;=ZahlungsZeitplan[[#This Row],[ANFANGSSALDO]],ZahlungsZeitplan[[#This Row],[ANFANGSSALDO]]-ZahlungsZeitplan[[#This Row],[KAPITAL]],0),"")</f>
        <v>84501.147045509482</v>
      </c>
      <c r="K110" s="195">
        <f ca="1">IF(ZahlungsZeitplan[[#This Row],['#]]&lt;&gt;"",SUM(INDEX(ZahlungsZeitplan[ZINSEN],1,1):ZahlungsZeitplan[[#This Row],[ZINSEN]]),"")</f>
        <v>13239.833301812136</v>
      </c>
    </row>
    <row r="111" spans="2:11">
      <c r="B111" s="193">
        <f ca="1">IF(DarlehenIstGut,IF(ROW()-ROW(ZahlungsZeitplan[[#Headers],['#]])&gt;PlanmäßigeAnzahlZahlungen,"",ROW()-ROW(ZahlungsZeitplan[[#Headers],['#]])),"")</f>
        <v>98</v>
      </c>
      <c r="C111" s="194">
        <f ca="1">IF(ZahlungsZeitplan[[#This Row],['#]]&lt;&gt;"",EOMONTH(DarlehensAnfangsDatum,ROW(ZahlungsZeitplan[[#This Row],['#]])-ROW(ZahlungsZeitplan[[#Headers],['#]])-2)+DAY(DarlehensAnfangsDatum),"")</f>
        <v>48277</v>
      </c>
      <c r="D111" s="195">
        <f ca="1">IF(ZahlungsZeitplan[[#This Row],['#]]&lt;&gt;"",IF(ROW()-ROW(ZahlungsZeitplan[[#Headers],[ANFANGSSALDO]])=1,DarlehensBetrag,INDEX(ZahlungsZeitplan[ENDSALDO],ROW()-ROW(ZahlungsZeitplan[[#Headers],[ANFANGSSALDO]])-1)),"")</f>
        <v>84501.147045509482</v>
      </c>
      <c r="E111" s="195">
        <f ca="1">IF(ZahlungsZeitplan[[#This Row],['#]]&lt;&gt;"",PlanmäßigeZahlung,"")</f>
        <v>645.29573460105871</v>
      </c>
      <c r="F11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1" s="195">
        <f ca="1">IF(ZahlungsZeitplan[[#This Row],['#]]&lt;&gt;"",ZahlungsZeitplan[[#This Row],[GESAMTZAHLUNG]]-ZahlungsZeitplan[[#This Row],[ZINSEN]],"")</f>
        <v>540.37347701955105</v>
      </c>
      <c r="I111" s="195">
        <f ca="1">IF(ZahlungsZeitplan[[#This Row],['#]]&lt;=($D$8*12),IF(ZahlungsZeitplan[[#This Row],['#]]&lt;&gt;"",ZahlungsZeitplan[[#This Row],[ANFANGSSALDO]]*(ZinsSatz/ZahlungenProJahr),""),IF(ZahlungsZeitplan[[#This Row],['#]]&lt;&gt;"",ZahlungsZeitplan[[#This Row],[ANFANGSSALDO]]*((ZinsSatz+$D$9)/ZahlungenProJahr),""))</f>
        <v>104.92225758150761</v>
      </c>
      <c r="J111" s="195">
        <f ca="1">IF(ZahlungsZeitplan[[#This Row],['#]]&lt;&gt;"",IF(ZahlungsZeitplan[[#This Row],[Zahlungen (Plan)]]+ZahlungsZeitplan[[#This Row],[SONDERZAHLUNG]]&lt;=ZahlungsZeitplan[[#This Row],[ANFANGSSALDO]],ZahlungsZeitplan[[#This Row],[ANFANGSSALDO]]-ZahlungsZeitplan[[#This Row],[KAPITAL]],0),"")</f>
        <v>83960.773568489938</v>
      </c>
      <c r="K111" s="195">
        <f ca="1">IF(ZahlungsZeitplan[[#This Row],['#]]&lt;&gt;"",SUM(INDEX(ZahlungsZeitplan[ZINSEN],1,1):ZahlungsZeitplan[[#This Row],[ZINSEN]]),"")</f>
        <v>13344.755559393643</v>
      </c>
    </row>
    <row r="112" spans="2:11">
      <c r="B112" s="193">
        <f ca="1">IF(DarlehenIstGut,IF(ROW()-ROW(ZahlungsZeitplan[[#Headers],['#]])&gt;PlanmäßigeAnzahlZahlungen,"",ROW()-ROW(ZahlungsZeitplan[[#Headers],['#]])),"")</f>
        <v>99</v>
      </c>
      <c r="C112" s="194">
        <f ca="1">IF(ZahlungsZeitplan[[#This Row],['#]]&lt;&gt;"",EOMONTH(DarlehensAnfangsDatum,ROW(ZahlungsZeitplan[[#This Row],['#]])-ROW(ZahlungsZeitplan[[#Headers],['#]])-2)+DAY(DarlehensAnfangsDatum),"")</f>
        <v>48308</v>
      </c>
      <c r="D112" s="195">
        <f ca="1">IF(ZahlungsZeitplan[[#This Row],['#]]&lt;&gt;"",IF(ROW()-ROW(ZahlungsZeitplan[[#Headers],[ANFANGSSALDO]])=1,DarlehensBetrag,INDEX(ZahlungsZeitplan[ENDSALDO],ROW()-ROW(ZahlungsZeitplan[[#Headers],[ANFANGSSALDO]])-1)),"")</f>
        <v>83960.773568489938</v>
      </c>
      <c r="E112" s="195">
        <f ca="1">IF(ZahlungsZeitplan[[#This Row],['#]]&lt;&gt;"",PlanmäßigeZahlung,"")</f>
        <v>645.29573460105871</v>
      </c>
      <c r="F11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2" s="195">
        <f ca="1">IF(ZahlungsZeitplan[[#This Row],['#]]&lt;&gt;"",ZahlungsZeitplan[[#This Row],[GESAMTZAHLUNG]]-ZahlungsZeitplan[[#This Row],[ZINSEN]],"")</f>
        <v>541.04444075351705</v>
      </c>
      <c r="I112" s="195">
        <f ca="1">IF(ZahlungsZeitplan[[#This Row],['#]]&lt;=($D$8*12),IF(ZahlungsZeitplan[[#This Row],['#]]&lt;&gt;"",ZahlungsZeitplan[[#This Row],[ANFANGSSALDO]]*(ZinsSatz/ZahlungenProJahr),""),IF(ZahlungsZeitplan[[#This Row],['#]]&lt;&gt;"",ZahlungsZeitplan[[#This Row],[ANFANGSSALDO]]*((ZinsSatz+$D$9)/ZahlungenProJahr),""))</f>
        <v>104.25129384754167</v>
      </c>
      <c r="J112" s="195">
        <f ca="1">IF(ZahlungsZeitplan[[#This Row],['#]]&lt;&gt;"",IF(ZahlungsZeitplan[[#This Row],[Zahlungen (Plan)]]+ZahlungsZeitplan[[#This Row],[SONDERZAHLUNG]]&lt;=ZahlungsZeitplan[[#This Row],[ANFANGSSALDO]],ZahlungsZeitplan[[#This Row],[ANFANGSSALDO]]-ZahlungsZeitplan[[#This Row],[KAPITAL]],0),"")</f>
        <v>83419.729127736427</v>
      </c>
      <c r="K112" s="195">
        <f ca="1">IF(ZahlungsZeitplan[[#This Row],['#]]&lt;&gt;"",SUM(INDEX(ZahlungsZeitplan[ZINSEN],1,1):ZahlungsZeitplan[[#This Row],[ZINSEN]]),"")</f>
        <v>13449.006853241184</v>
      </c>
    </row>
    <row r="113" spans="2:11">
      <c r="B113" s="193">
        <f ca="1">IF(DarlehenIstGut,IF(ROW()-ROW(ZahlungsZeitplan[[#Headers],['#]])&gt;PlanmäßigeAnzahlZahlungen,"",ROW()-ROW(ZahlungsZeitplan[[#Headers],['#]])),"")</f>
        <v>100</v>
      </c>
      <c r="C113" s="194">
        <f ca="1">IF(ZahlungsZeitplan[[#This Row],['#]]&lt;&gt;"",EOMONTH(DarlehensAnfangsDatum,ROW(ZahlungsZeitplan[[#This Row],['#]])-ROW(ZahlungsZeitplan[[#Headers],['#]])-2)+DAY(DarlehensAnfangsDatum),"")</f>
        <v>48338</v>
      </c>
      <c r="D113" s="195">
        <f ca="1">IF(ZahlungsZeitplan[[#This Row],['#]]&lt;&gt;"",IF(ROW()-ROW(ZahlungsZeitplan[[#Headers],[ANFANGSSALDO]])=1,DarlehensBetrag,INDEX(ZahlungsZeitplan[ENDSALDO],ROW()-ROW(ZahlungsZeitplan[[#Headers],[ANFANGSSALDO]])-1)),"")</f>
        <v>83419.729127736427</v>
      </c>
      <c r="E113" s="195">
        <f ca="1">IF(ZahlungsZeitplan[[#This Row],['#]]&lt;&gt;"",PlanmäßigeZahlung,"")</f>
        <v>645.29573460105871</v>
      </c>
      <c r="F11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3" s="195">
        <f ca="1">IF(ZahlungsZeitplan[[#This Row],['#]]&lt;&gt;"",ZahlungsZeitplan[[#This Row],[GESAMTZAHLUNG]]-ZahlungsZeitplan[[#This Row],[ZINSEN]],"")</f>
        <v>541.71623760078592</v>
      </c>
      <c r="I113" s="195">
        <f ca="1">IF(ZahlungsZeitplan[[#This Row],['#]]&lt;=($D$8*12),IF(ZahlungsZeitplan[[#This Row],['#]]&lt;&gt;"",ZahlungsZeitplan[[#This Row],[ANFANGSSALDO]]*(ZinsSatz/ZahlungenProJahr),""),IF(ZahlungsZeitplan[[#This Row],['#]]&lt;&gt;"",ZahlungsZeitplan[[#This Row],[ANFANGSSALDO]]*((ZinsSatz+$D$9)/ZahlungenProJahr),""))</f>
        <v>103.57949700027274</v>
      </c>
      <c r="J113" s="195">
        <f ca="1">IF(ZahlungsZeitplan[[#This Row],['#]]&lt;&gt;"",IF(ZahlungsZeitplan[[#This Row],[Zahlungen (Plan)]]+ZahlungsZeitplan[[#This Row],[SONDERZAHLUNG]]&lt;=ZahlungsZeitplan[[#This Row],[ANFANGSSALDO]],ZahlungsZeitplan[[#This Row],[ANFANGSSALDO]]-ZahlungsZeitplan[[#This Row],[KAPITAL]],0),"")</f>
        <v>82878.012890135637</v>
      </c>
      <c r="K113" s="195">
        <f ca="1">IF(ZahlungsZeitplan[[#This Row],['#]]&lt;&gt;"",SUM(INDEX(ZahlungsZeitplan[ZINSEN],1,1):ZahlungsZeitplan[[#This Row],[ZINSEN]]),"")</f>
        <v>13552.586350241458</v>
      </c>
    </row>
    <row r="114" spans="2:11">
      <c r="B114" s="193">
        <f ca="1">IF(DarlehenIstGut,IF(ROW()-ROW(ZahlungsZeitplan[[#Headers],['#]])&gt;PlanmäßigeAnzahlZahlungen,"",ROW()-ROW(ZahlungsZeitplan[[#Headers],['#]])),"")</f>
        <v>101</v>
      </c>
      <c r="C114" s="194">
        <f ca="1">IF(ZahlungsZeitplan[[#This Row],['#]]&lt;&gt;"",EOMONTH(DarlehensAnfangsDatum,ROW(ZahlungsZeitplan[[#This Row],['#]])-ROW(ZahlungsZeitplan[[#Headers],['#]])-2)+DAY(DarlehensAnfangsDatum),"")</f>
        <v>48369</v>
      </c>
      <c r="D114" s="195">
        <f ca="1">IF(ZahlungsZeitplan[[#This Row],['#]]&lt;&gt;"",IF(ROW()-ROW(ZahlungsZeitplan[[#Headers],[ANFANGSSALDO]])=1,DarlehensBetrag,INDEX(ZahlungsZeitplan[ENDSALDO],ROW()-ROW(ZahlungsZeitplan[[#Headers],[ANFANGSSALDO]])-1)),"")</f>
        <v>82878.012890135637</v>
      </c>
      <c r="E114" s="195">
        <f ca="1">IF(ZahlungsZeitplan[[#This Row],['#]]&lt;&gt;"",PlanmäßigeZahlung,"")</f>
        <v>645.29573460105871</v>
      </c>
      <c r="F11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4" s="195">
        <f ca="1">IF(ZahlungsZeitplan[[#This Row],['#]]&lt;&gt;"",ZahlungsZeitplan[[#This Row],[GESAMTZAHLUNG]]-ZahlungsZeitplan[[#This Row],[ZINSEN]],"")</f>
        <v>542.38886859580691</v>
      </c>
      <c r="I114" s="195">
        <f ca="1">IF(ZahlungsZeitplan[[#This Row],['#]]&lt;=($D$8*12),IF(ZahlungsZeitplan[[#This Row],['#]]&lt;&gt;"",ZahlungsZeitplan[[#This Row],[ANFANGSSALDO]]*(ZinsSatz/ZahlungenProJahr),""),IF(ZahlungsZeitplan[[#This Row],['#]]&lt;&gt;"",ZahlungsZeitplan[[#This Row],[ANFANGSSALDO]]*((ZinsSatz+$D$9)/ZahlungenProJahr),""))</f>
        <v>102.90686600525176</v>
      </c>
      <c r="J114" s="195">
        <f ca="1">IF(ZahlungsZeitplan[[#This Row],['#]]&lt;&gt;"",IF(ZahlungsZeitplan[[#This Row],[Zahlungen (Plan)]]+ZahlungsZeitplan[[#This Row],[SONDERZAHLUNG]]&lt;=ZahlungsZeitplan[[#This Row],[ANFANGSSALDO]],ZahlungsZeitplan[[#This Row],[ANFANGSSALDO]]-ZahlungsZeitplan[[#This Row],[KAPITAL]],0),"")</f>
        <v>82335.624021539828</v>
      </c>
      <c r="K114" s="195">
        <f ca="1">IF(ZahlungsZeitplan[[#This Row],['#]]&lt;&gt;"",SUM(INDEX(ZahlungsZeitplan[ZINSEN],1,1):ZahlungsZeitplan[[#This Row],[ZINSEN]]),"")</f>
        <v>13655.49321624671</v>
      </c>
    </row>
    <row r="115" spans="2:11">
      <c r="B115" s="193">
        <f ca="1">IF(DarlehenIstGut,IF(ROW()-ROW(ZahlungsZeitplan[[#Headers],['#]])&gt;PlanmäßigeAnzahlZahlungen,"",ROW()-ROW(ZahlungsZeitplan[[#Headers],['#]])),"")</f>
        <v>102</v>
      </c>
      <c r="C115" s="194">
        <f ca="1">IF(ZahlungsZeitplan[[#This Row],['#]]&lt;&gt;"",EOMONTH(DarlehensAnfangsDatum,ROW(ZahlungsZeitplan[[#This Row],['#]])-ROW(ZahlungsZeitplan[[#Headers],['#]])-2)+DAY(DarlehensAnfangsDatum),"")</f>
        <v>48399</v>
      </c>
      <c r="D115" s="195">
        <f ca="1">IF(ZahlungsZeitplan[[#This Row],['#]]&lt;&gt;"",IF(ROW()-ROW(ZahlungsZeitplan[[#Headers],[ANFANGSSALDO]])=1,DarlehensBetrag,INDEX(ZahlungsZeitplan[ENDSALDO],ROW()-ROW(ZahlungsZeitplan[[#Headers],[ANFANGSSALDO]])-1)),"")</f>
        <v>82335.624021539828</v>
      </c>
      <c r="E115" s="195">
        <f ca="1">IF(ZahlungsZeitplan[[#This Row],['#]]&lt;&gt;"",PlanmäßigeZahlung,"")</f>
        <v>645.29573460105871</v>
      </c>
      <c r="F11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5" s="195">
        <f ca="1">IF(ZahlungsZeitplan[[#This Row],['#]]&lt;&gt;"",ZahlungsZeitplan[[#This Row],[GESAMTZAHLUNG]]-ZahlungsZeitplan[[#This Row],[ZINSEN]],"")</f>
        <v>543.0623347743134</v>
      </c>
      <c r="I115" s="195">
        <f ca="1">IF(ZahlungsZeitplan[[#This Row],['#]]&lt;=($D$8*12),IF(ZahlungsZeitplan[[#This Row],['#]]&lt;&gt;"",ZahlungsZeitplan[[#This Row],[ANFANGSSALDO]]*(ZinsSatz/ZahlungenProJahr),""),IF(ZahlungsZeitplan[[#This Row],['#]]&lt;&gt;"",ZahlungsZeitplan[[#This Row],[ANFANGSSALDO]]*((ZinsSatz+$D$9)/ZahlungenProJahr),""))</f>
        <v>102.2333998267453</v>
      </c>
      <c r="J115" s="195">
        <f ca="1">IF(ZahlungsZeitplan[[#This Row],['#]]&lt;&gt;"",IF(ZahlungsZeitplan[[#This Row],[Zahlungen (Plan)]]+ZahlungsZeitplan[[#This Row],[SONDERZAHLUNG]]&lt;=ZahlungsZeitplan[[#This Row],[ANFANGSSALDO]],ZahlungsZeitplan[[#This Row],[ANFANGSSALDO]]-ZahlungsZeitplan[[#This Row],[KAPITAL]],0),"")</f>
        <v>81792.561686765519</v>
      </c>
      <c r="K115" s="195">
        <f ca="1">IF(ZahlungsZeitplan[[#This Row],['#]]&lt;&gt;"",SUM(INDEX(ZahlungsZeitplan[ZINSEN],1,1):ZahlungsZeitplan[[#This Row],[ZINSEN]]),"")</f>
        <v>13757.726616073456</v>
      </c>
    </row>
    <row r="116" spans="2:11">
      <c r="B116" s="193">
        <f ca="1">IF(DarlehenIstGut,IF(ROW()-ROW(ZahlungsZeitplan[[#Headers],['#]])&gt;PlanmäßigeAnzahlZahlungen,"",ROW()-ROW(ZahlungsZeitplan[[#Headers],['#]])),"")</f>
        <v>103</v>
      </c>
      <c r="C116" s="194">
        <f ca="1">IF(ZahlungsZeitplan[[#This Row],['#]]&lt;&gt;"",EOMONTH(DarlehensAnfangsDatum,ROW(ZahlungsZeitplan[[#This Row],['#]])-ROW(ZahlungsZeitplan[[#Headers],['#]])-2)+DAY(DarlehensAnfangsDatum),"")</f>
        <v>48430</v>
      </c>
      <c r="D116" s="195">
        <f ca="1">IF(ZahlungsZeitplan[[#This Row],['#]]&lt;&gt;"",IF(ROW()-ROW(ZahlungsZeitplan[[#Headers],[ANFANGSSALDO]])=1,DarlehensBetrag,INDEX(ZahlungsZeitplan[ENDSALDO],ROW()-ROW(ZahlungsZeitplan[[#Headers],[ANFANGSSALDO]])-1)),"")</f>
        <v>81792.561686765519</v>
      </c>
      <c r="E116" s="195">
        <f ca="1">IF(ZahlungsZeitplan[[#This Row],['#]]&lt;&gt;"",PlanmäßigeZahlung,"")</f>
        <v>645.29573460105871</v>
      </c>
      <c r="F11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6" s="195">
        <f ca="1">IF(ZahlungsZeitplan[[#This Row],['#]]&lt;&gt;"",ZahlungsZeitplan[[#This Row],[GESAMTZAHLUNG]]-ZahlungsZeitplan[[#This Row],[ZINSEN]],"")</f>
        <v>543.73663717332488</v>
      </c>
      <c r="I116" s="195">
        <f ca="1">IF(ZahlungsZeitplan[[#This Row],['#]]&lt;=($D$8*12),IF(ZahlungsZeitplan[[#This Row],['#]]&lt;&gt;"",ZahlungsZeitplan[[#This Row],[ANFANGSSALDO]]*(ZinsSatz/ZahlungenProJahr),""),IF(ZahlungsZeitplan[[#This Row],['#]]&lt;&gt;"",ZahlungsZeitplan[[#This Row],[ANFANGSSALDO]]*((ZinsSatz+$D$9)/ZahlungenProJahr),""))</f>
        <v>101.55909742773386</v>
      </c>
      <c r="J116" s="195">
        <f ca="1">IF(ZahlungsZeitplan[[#This Row],['#]]&lt;&gt;"",IF(ZahlungsZeitplan[[#This Row],[Zahlungen (Plan)]]+ZahlungsZeitplan[[#This Row],[SONDERZAHLUNG]]&lt;=ZahlungsZeitplan[[#This Row],[ANFANGSSALDO]],ZahlungsZeitplan[[#This Row],[ANFANGSSALDO]]-ZahlungsZeitplan[[#This Row],[KAPITAL]],0),"")</f>
        <v>81248.825049592197</v>
      </c>
      <c r="K116" s="195">
        <f ca="1">IF(ZahlungsZeitplan[[#This Row],['#]]&lt;&gt;"",SUM(INDEX(ZahlungsZeitplan[ZINSEN],1,1):ZahlungsZeitplan[[#This Row],[ZINSEN]]),"")</f>
        <v>13859.285713501191</v>
      </c>
    </row>
    <row r="117" spans="2:11">
      <c r="B117" s="193">
        <f ca="1">IF(DarlehenIstGut,IF(ROW()-ROW(ZahlungsZeitplan[[#Headers],['#]])&gt;PlanmäßigeAnzahlZahlungen,"",ROW()-ROW(ZahlungsZeitplan[[#Headers],['#]])),"")</f>
        <v>104</v>
      </c>
      <c r="C117" s="194">
        <f ca="1">IF(ZahlungsZeitplan[[#This Row],['#]]&lt;&gt;"",EOMONTH(DarlehensAnfangsDatum,ROW(ZahlungsZeitplan[[#This Row],['#]])-ROW(ZahlungsZeitplan[[#Headers],['#]])-2)+DAY(DarlehensAnfangsDatum),"")</f>
        <v>48461</v>
      </c>
      <c r="D117" s="195">
        <f ca="1">IF(ZahlungsZeitplan[[#This Row],['#]]&lt;&gt;"",IF(ROW()-ROW(ZahlungsZeitplan[[#Headers],[ANFANGSSALDO]])=1,DarlehensBetrag,INDEX(ZahlungsZeitplan[ENDSALDO],ROW()-ROW(ZahlungsZeitplan[[#Headers],[ANFANGSSALDO]])-1)),"")</f>
        <v>81248.825049592197</v>
      </c>
      <c r="E117" s="195">
        <f ca="1">IF(ZahlungsZeitplan[[#This Row],['#]]&lt;&gt;"",PlanmäßigeZahlung,"")</f>
        <v>645.29573460105871</v>
      </c>
      <c r="F11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7" s="195">
        <f ca="1">IF(ZahlungsZeitplan[[#This Row],['#]]&lt;&gt;"",ZahlungsZeitplan[[#This Row],[GESAMTZAHLUNG]]-ZahlungsZeitplan[[#This Row],[ZINSEN]],"")</f>
        <v>544.41177683114836</v>
      </c>
      <c r="I117" s="195">
        <f ca="1">IF(ZahlungsZeitplan[[#This Row],['#]]&lt;=($D$8*12),IF(ZahlungsZeitplan[[#This Row],['#]]&lt;&gt;"",ZahlungsZeitplan[[#This Row],[ANFANGSSALDO]]*(ZinsSatz/ZahlungenProJahr),""),IF(ZahlungsZeitplan[[#This Row],['#]]&lt;&gt;"",ZahlungsZeitplan[[#This Row],[ANFANGSSALDO]]*((ZinsSatz+$D$9)/ZahlungenProJahr),""))</f>
        <v>100.88395776991031</v>
      </c>
      <c r="J117" s="195">
        <f ca="1">IF(ZahlungsZeitplan[[#This Row],['#]]&lt;&gt;"",IF(ZahlungsZeitplan[[#This Row],[Zahlungen (Plan)]]+ZahlungsZeitplan[[#This Row],[SONDERZAHLUNG]]&lt;=ZahlungsZeitplan[[#This Row],[ANFANGSSALDO]],ZahlungsZeitplan[[#This Row],[ANFANGSSALDO]]-ZahlungsZeitplan[[#This Row],[KAPITAL]],0),"")</f>
        <v>80704.413272761041</v>
      </c>
      <c r="K117" s="195">
        <f ca="1">IF(ZahlungsZeitplan[[#This Row],['#]]&lt;&gt;"",SUM(INDEX(ZahlungsZeitplan[ZINSEN],1,1):ZahlungsZeitplan[[#This Row],[ZINSEN]]),"")</f>
        <v>13960.169671271102</v>
      </c>
    </row>
    <row r="118" spans="2:11">
      <c r="B118" s="193">
        <f ca="1">IF(DarlehenIstGut,IF(ROW()-ROW(ZahlungsZeitplan[[#Headers],['#]])&gt;PlanmäßigeAnzahlZahlungen,"",ROW()-ROW(ZahlungsZeitplan[[#Headers],['#]])),"")</f>
        <v>105</v>
      </c>
      <c r="C118" s="194">
        <f ca="1">IF(ZahlungsZeitplan[[#This Row],['#]]&lt;&gt;"",EOMONTH(DarlehensAnfangsDatum,ROW(ZahlungsZeitplan[[#This Row],['#]])-ROW(ZahlungsZeitplan[[#Headers],['#]])-2)+DAY(DarlehensAnfangsDatum),"")</f>
        <v>48491</v>
      </c>
      <c r="D118" s="195">
        <f ca="1">IF(ZahlungsZeitplan[[#This Row],['#]]&lt;&gt;"",IF(ROW()-ROW(ZahlungsZeitplan[[#Headers],[ANFANGSSALDO]])=1,DarlehensBetrag,INDEX(ZahlungsZeitplan[ENDSALDO],ROW()-ROW(ZahlungsZeitplan[[#Headers],[ANFANGSSALDO]])-1)),"")</f>
        <v>80704.413272761041</v>
      </c>
      <c r="E118" s="195">
        <f ca="1">IF(ZahlungsZeitplan[[#This Row],['#]]&lt;&gt;"",PlanmäßigeZahlung,"")</f>
        <v>645.29573460105871</v>
      </c>
      <c r="F11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8" s="195">
        <f ca="1">IF(ZahlungsZeitplan[[#This Row],['#]]&lt;&gt;"",ZahlungsZeitplan[[#This Row],[GESAMTZAHLUNG]]-ZahlungsZeitplan[[#This Row],[ZINSEN]],"")</f>
        <v>545.08775478738039</v>
      </c>
      <c r="I118" s="195">
        <f ca="1">IF(ZahlungsZeitplan[[#This Row],['#]]&lt;=($D$8*12),IF(ZahlungsZeitplan[[#This Row],['#]]&lt;&gt;"",ZahlungsZeitplan[[#This Row],[ANFANGSSALDO]]*(ZinsSatz/ZahlungenProJahr),""),IF(ZahlungsZeitplan[[#This Row],['#]]&lt;&gt;"",ZahlungsZeitplan[[#This Row],[ANFANGSSALDO]]*((ZinsSatz+$D$9)/ZahlungenProJahr),""))</f>
        <v>100.20797981367829</v>
      </c>
      <c r="J118" s="195">
        <f ca="1">IF(ZahlungsZeitplan[[#This Row],['#]]&lt;&gt;"",IF(ZahlungsZeitplan[[#This Row],[Zahlungen (Plan)]]+ZahlungsZeitplan[[#This Row],[SONDERZAHLUNG]]&lt;=ZahlungsZeitplan[[#This Row],[ANFANGSSALDO]],ZahlungsZeitplan[[#This Row],[ANFANGSSALDO]]-ZahlungsZeitplan[[#This Row],[KAPITAL]],0),"")</f>
        <v>80159.325517973659</v>
      </c>
      <c r="K118" s="195">
        <f ca="1">IF(ZahlungsZeitplan[[#This Row],['#]]&lt;&gt;"",SUM(INDEX(ZahlungsZeitplan[ZINSEN],1,1):ZahlungsZeitplan[[#This Row],[ZINSEN]]),"")</f>
        <v>14060.37765108478</v>
      </c>
    </row>
    <row r="119" spans="2:11">
      <c r="B119" s="193">
        <f ca="1">IF(DarlehenIstGut,IF(ROW()-ROW(ZahlungsZeitplan[[#Headers],['#]])&gt;PlanmäßigeAnzahlZahlungen,"",ROW()-ROW(ZahlungsZeitplan[[#Headers],['#]])),"")</f>
        <v>106</v>
      </c>
      <c r="C119" s="194">
        <f ca="1">IF(ZahlungsZeitplan[[#This Row],['#]]&lt;&gt;"",EOMONTH(DarlehensAnfangsDatum,ROW(ZahlungsZeitplan[[#This Row],['#]])-ROW(ZahlungsZeitplan[[#Headers],['#]])-2)+DAY(DarlehensAnfangsDatum),"")</f>
        <v>48522</v>
      </c>
      <c r="D119" s="195">
        <f ca="1">IF(ZahlungsZeitplan[[#This Row],['#]]&lt;&gt;"",IF(ROW()-ROW(ZahlungsZeitplan[[#Headers],[ANFANGSSALDO]])=1,DarlehensBetrag,INDEX(ZahlungsZeitplan[ENDSALDO],ROW()-ROW(ZahlungsZeitplan[[#Headers],[ANFANGSSALDO]])-1)),"")</f>
        <v>80159.325517973659</v>
      </c>
      <c r="E119" s="195">
        <f ca="1">IF(ZahlungsZeitplan[[#This Row],['#]]&lt;&gt;"",PlanmäßigeZahlung,"")</f>
        <v>645.29573460105871</v>
      </c>
      <c r="F11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1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19" s="195">
        <f ca="1">IF(ZahlungsZeitplan[[#This Row],['#]]&lt;&gt;"",ZahlungsZeitplan[[#This Row],[GESAMTZAHLUNG]]-ZahlungsZeitplan[[#This Row],[ZINSEN]],"")</f>
        <v>545.7645720829081</v>
      </c>
      <c r="I119" s="195">
        <f ca="1">IF(ZahlungsZeitplan[[#This Row],['#]]&lt;=($D$8*12),IF(ZahlungsZeitplan[[#This Row],['#]]&lt;&gt;"",ZahlungsZeitplan[[#This Row],[ANFANGSSALDO]]*(ZinsSatz/ZahlungenProJahr),""),IF(ZahlungsZeitplan[[#This Row],['#]]&lt;&gt;"",ZahlungsZeitplan[[#This Row],[ANFANGSSALDO]]*((ZinsSatz+$D$9)/ZahlungenProJahr),""))</f>
        <v>99.531162518150637</v>
      </c>
      <c r="J119" s="195">
        <f ca="1">IF(ZahlungsZeitplan[[#This Row],['#]]&lt;&gt;"",IF(ZahlungsZeitplan[[#This Row],[Zahlungen (Plan)]]+ZahlungsZeitplan[[#This Row],[SONDERZAHLUNG]]&lt;=ZahlungsZeitplan[[#This Row],[ANFANGSSALDO]],ZahlungsZeitplan[[#This Row],[ANFANGSSALDO]]-ZahlungsZeitplan[[#This Row],[KAPITAL]],0),"")</f>
        <v>79613.560945890757</v>
      </c>
      <c r="K119" s="195">
        <f ca="1">IF(ZahlungsZeitplan[[#This Row],['#]]&lt;&gt;"",SUM(INDEX(ZahlungsZeitplan[ZINSEN],1,1):ZahlungsZeitplan[[#This Row],[ZINSEN]]),"")</f>
        <v>14159.908813602931</v>
      </c>
    </row>
    <row r="120" spans="2:11">
      <c r="B120" s="193">
        <f ca="1">IF(DarlehenIstGut,IF(ROW()-ROW(ZahlungsZeitplan[[#Headers],['#]])&gt;PlanmäßigeAnzahlZahlungen,"",ROW()-ROW(ZahlungsZeitplan[[#Headers],['#]])),"")</f>
        <v>107</v>
      </c>
      <c r="C120" s="194">
        <f ca="1">IF(ZahlungsZeitplan[[#This Row],['#]]&lt;&gt;"",EOMONTH(DarlehensAnfangsDatum,ROW(ZahlungsZeitplan[[#This Row],['#]])-ROW(ZahlungsZeitplan[[#Headers],['#]])-2)+DAY(DarlehensAnfangsDatum),"")</f>
        <v>48552</v>
      </c>
      <c r="D120" s="195">
        <f ca="1">IF(ZahlungsZeitplan[[#This Row],['#]]&lt;&gt;"",IF(ROW()-ROW(ZahlungsZeitplan[[#Headers],[ANFANGSSALDO]])=1,DarlehensBetrag,INDEX(ZahlungsZeitplan[ENDSALDO],ROW()-ROW(ZahlungsZeitplan[[#Headers],[ANFANGSSALDO]])-1)),"")</f>
        <v>79613.560945890757</v>
      </c>
      <c r="E120" s="195">
        <f ca="1">IF(ZahlungsZeitplan[[#This Row],['#]]&lt;&gt;"",PlanmäßigeZahlung,"")</f>
        <v>645.29573460105871</v>
      </c>
      <c r="F12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0" s="195">
        <f ca="1">IF(ZahlungsZeitplan[[#This Row],['#]]&lt;&gt;"",ZahlungsZeitplan[[#This Row],[GESAMTZAHLUNG]]-ZahlungsZeitplan[[#This Row],[ZINSEN]],"")</f>
        <v>546.44222975991102</v>
      </c>
      <c r="I120" s="195">
        <f ca="1">IF(ZahlungsZeitplan[[#This Row],['#]]&lt;=($D$8*12),IF(ZahlungsZeitplan[[#This Row],['#]]&lt;&gt;"",ZahlungsZeitplan[[#This Row],[ANFANGSSALDO]]*(ZinsSatz/ZahlungenProJahr),""),IF(ZahlungsZeitplan[[#This Row],['#]]&lt;&gt;"",ZahlungsZeitplan[[#This Row],[ANFANGSSALDO]]*((ZinsSatz+$D$9)/ZahlungenProJahr),""))</f>
        <v>98.853504841147696</v>
      </c>
      <c r="J120" s="195">
        <f ca="1">IF(ZahlungsZeitplan[[#This Row],['#]]&lt;&gt;"",IF(ZahlungsZeitplan[[#This Row],[Zahlungen (Plan)]]+ZahlungsZeitplan[[#This Row],[SONDERZAHLUNG]]&lt;=ZahlungsZeitplan[[#This Row],[ANFANGSSALDO]],ZahlungsZeitplan[[#This Row],[ANFANGSSALDO]]-ZahlungsZeitplan[[#This Row],[KAPITAL]],0),"")</f>
        <v>79067.118716130848</v>
      </c>
      <c r="K120" s="195">
        <f ca="1">IF(ZahlungsZeitplan[[#This Row],['#]]&lt;&gt;"",SUM(INDEX(ZahlungsZeitplan[ZINSEN],1,1):ZahlungsZeitplan[[#This Row],[ZINSEN]]),"")</f>
        <v>14258.762318444078</v>
      </c>
    </row>
    <row r="121" spans="2:11">
      <c r="B121" s="193">
        <f ca="1">IF(DarlehenIstGut,IF(ROW()-ROW(ZahlungsZeitplan[[#Headers],['#]])&gt;PlanmäßigeAnzahlZahlungen,"",ROW()-ROW(ZahlungsZeitplan[[#Headers],['#]])),"")</f>
        <v>108</v>
      </c>
      <c r="C121" s="194">
        <f ca="1">IF(ZahlungsZeitplan[[#This Row],['#]]&lt;&gt;"",EOMONTH(DarlehensAnfangsDatum,ROW(ZahlungsZeitplan[[#This Row],['#]])-ROW(ZahlungsZeitplan[[#Headers],['#]])-2)+DAY(DarlehensAnfangsDatum),"")</f>
        <v>48583</v>
      </c>
      <c r="D121" s="195">
        <f ca="1">IF(ZahlungsZeitplan[[#This Row],['#]]&lt;&gt;"",IF(ROW()-ROW(ZahlungsZeitplan[[#Headers],[ANFANGSSALDO]])=1,DarlehensBetrag,INDEX(ZahlungsZeitplan[ENDSALDO],ROW()-ROW(ZahlungsZeitplan[[#Headers],[ANFANGSSALDO]])-1)),"")</f>
        <v>79067.118716130848</v>
      </c>
      <c r="E121" s="195">
        <f ca="1">IF(ZahlungsZeitplan[[#This Row],['#]]&lt;&gt;"",PlanmäßigeZahlung,"")</f>
        <v>645.29573460105871</v>
      </c>
      <c r="F12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1" s="195">
        <f ca="1">IF(ZahlungsZeitplan[[#This Row],['#]]&lt;&gt;"",ZahlungsZeitplan[[#This Row],[GESAMTZAHLUNG]]-ZahlungsZeitplan[[#This Row],[ZINSEN]],"")</f>
        <v>547.12072886186286</v>
      </c>
      <c r="I121" s="195">
        <f ca="1">IF(ZahlungsZeitplan[[#This Row],['#]]&lt;=($D$8*12),IF(ZahlungsZeitplan[[#This Row],['#]]&lt;&gt;"",ZahlungsZeitplan[[#This Row],[ANFANGSSALDO]]*(ZinsSatz/ZahlungenProJahr),""),IF(ZahlungsZeitplan[[#This Row],['#]]&lt;&gt;"",ZahlungsZeitplan[[#This Row],[ANFANGSSALDO]]*((ZinsSatz+$D$9)/ZahlungenProJahr),""))</f>
        <v>98.175005739195811</v>
      </c>
      <c r="J121" s="195">
        <f ca="1">IF(ZahlungsZeitplan[[#This Row],['#]]&lt;&gt;"",IF(ZahlungsZeitplan[[#This Row],[Zahlungen (Plan)]]+ZahlungsZeitplan[[#This Row],[SONDERZAHLUNG]]&lt;=ZahlungsZeitplan[[#This Row],[ANFANGSSALDO]],ZahlungsZeitplan[[#This Row],[ANFANGSSALDO]]-ZahlungsZeitplan[[#This Row],[KAPITAL]],0),"")</f>
        <v>78519.997987268987</v>
      </c>
      <c r="K121" s="195">
        <f ca="1">IF(ZahlungsZeitplan[[#This Row],['#]]&lt;&gt;"",SUM(INDEX(ZahlungsZeitplan[ZINSEN],1,1):ZahlungsZeitplan[[#This Row],[ZINSEN]]),"")</f>
        <v>14356.937324183275</v>
      </c>
    </row>
    <row r="122" spans="2:11">
      <c r="B122" s="193">
        <f ca="1">IF(DarlehenIstGut,IF(ROW()-ROW(ZahlungsZeitplan[[#Headers],['#]])&gt;PlanmäßigeAnzahlZahlungen,"",ROW()-ROW(ZahlungsZeitplan[[#Headers],['#]])),"")</f>
        <v>109</v>
      </c>
      <c r="C122" s="194">
        <f ca="1">IF(ZahlungsZeitplan[[#This Row],['#]]&lt;&gt;"",EOMONTH(DarlehensAnfangsDatum,ROW(ZahlungsZeitplan[[#This Row],['#]])-ROW(ZahlungsZeitplan[[#Headers],['#]])-2)+DAY(DarlehensAnfangsDatum),"")</f>
        <v>48614</v>
      </c>
      <c r="D122" s="195">
        <f ca="1">IF(ZahlungsZeitplan[[#This Row],['#]]&lt;&gt;"",IF(ROW()-ROW(ZahlungsZeitplan[[#Headers],[ANFANGSSALDO]])=1,DarlehensBetrag,INDEX(ZahlungsZeitplan[ENDSALDO],ROW()-ROW(ZahlungsZeitplan[[#Headers],[ANFANGSSALDO]])-1)),"")</f>
        <v>78519.997987268987</v>
      </c>
      <c r="E122" s="195">
        <f ca="1">IF(ZahlungsZeitplan[[#This Row],['#]]&lt;&gt;"",PlanmäßigeZahlung,"")</f>
        <v>645.29573460105871</v>
      </c>
      <c r="F12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2" s="195">
        <f ca="1">IF(ZahlungsZeitplan[[#This Row],['#]]&lt;&gt;"",ZahlungsZeitplan[[#This Row],[GESAMTZAHLUNG]]-ZahlungsZeitplan[[#This Row],[ZINSEN]],"")</f>
        <v>547.80007043353305</v>
      </c>
      <c r="I122" s="195">
        <f ca="1">IF(ZahlungsZeitplan[[#This Row],['#]]&lt;=($D$8*12),IF(ZahlungsZeitplan[[#This Row],['#]]&lt;&gt;"",ZahlungsZeitplan[[#This Row],[ANFANGSSALDO]]*(ZinsSatz/ZahlungenProJahr),""),IF(ZahlungsZeitplan[[#This Row],['#]]&lt;&gt;"",ZahlungsZeitplan[[#This Row],[ANFANGSSALDO]]*((ZinsSatz+$D$9)/ZahlungenProJahr),""))</f>
        <v>97.495664167525661</v>
      </c>
      <c r="J122" s="195">
        <f ca="1">IF(ZahlungsZeitplan[[#This Row],['#]]&lt;&gt;"",IF(ZahlungsZeitplan[[#This Row],[Zahlungen (Plan)]]+ZahlungsZeitplan[[#This Row],[SONDERZAHLUNG]]&lt;=ZahlungsZeitplan[[#This Row],[ANFANGSSALDO]],ZahlungsZeitplan[[#This Row],[ANFANGSSALDO]]-ZahlungsZeitplan[[#This Row],[KAPITAL]],0),"")</f>
        <v>77972.197916835459</v>
      </c>
      <c r="K122" s="195">
        <f ca="1">IF(ZahlungsZeitplan[[#This Row],['#]]&lt;&gt;"",SUM(INDEX(ZahlungsZeitplan[ZINSEN],1,1):ZahlungsZeitplan[[#This Row],[ZINSEN]]),"")</f>
        <v>14454.4329883508</v>
      </c>
    </row>
    <row r="123" spans="2:11">
      <c r="B123" s="193">
        <f ca="1">IF(DarlehenIstGut,IF(ROW()-ROW(ZahlungsZeitplan[[#Headers],['#]])&gt;PlanmäßigeAnzahlZahlungen,"",ROW()-ROW(ZahlungsZeitplan[[#Headers],['#]])),"")</f>
        <v>110</v>
      </c>
      <c r="C123" s="194">
        <f ca="1">IF(ZahlungsZeitplan[[#This Row],['#]]&lt;&gt;"",EOMONTH(DarlehensAnfangsDatum,ROW(ZahlungsZeitplan[[#This Row],['#]])-ROW(ZahlungsZeitplan[[#Headers],['#]])-2)+DAY(DarlehensAnfangsDatum),"")</f>
        <v>48642</v>
      </c>
      <c r="D123" s="195">
        <f ca="1">IF(ZahlungsZeitplan[[#This Row],['#]]&lt;&gt;"",IF(ROW()-ROW(ZahlungsZeitplan[[#Headers],[ANFANGSSALDO]])=1,DarlehensBetrag,INDEX(ZahlungsZeitplan[ENDSALDO],ROW()-ROW(ZahlungsZeitplan[[#Headers],[ANFANGSSALDO]])-1)),"")</f>
        <v>77972.197916835459</v>
      </c>
      <c r="E123" s="195">
        <f ca="1">IF(ZahlungsZeitplan[[#This Row],['#]]&lt;&gt;"",PlanmäßigeZahlung,"")</f>
        <v>645.29573460105871</v>
      </c>
      <c r="F12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3" s="195">
        <f ca="1">IF(ZahlungsZeitplan[[#This Row],['#]]&lt;&gt;"",ZahlungsZeitplan[[#This Row],[GESAMTZAHLUNG]]-ZahlungsZeitplan[[#This Row],[ZINSEN]],"")</f>
        <v>548.48025552098807</v>
      </c>
      <c r="I123" s="195">
        <f ca="1">IF(ZahlungsZeitplan[[#This Row],['#]]&lt;=($D$8*12),IF(ZahlungsZeitplan[[#This Row],['#]]&lt;&gt;"",ZahlungsZeitplan[[#This Row],[ANFANGSSALDO]]*(ZinsSatz/ZahlungenProJahr),""),IF(ZahlungsZeitplan[[#This Row],['#]]&lt;&gt;"",ZahlungsZeitplan[[#This Row],[ANFANGSSALDO]]*((ZinsSatz+$D$9)/ZahlungenProJahr),""))</f>
        <v>96.815479080070702</v>
      </c>
      <c r="J123" s="195">
        <f ca="1">IF(ZahlungsZeitplan[[#This Row],['#]]&lt;&gt;"",IF(ZahlungsZeitplan[[#This Row],[Zahlungen (Plan)]]+ZahlungsZeitplan[[#This Row],[SONDERZAHLUNG]]&lt;=ZahlungsZeitplan[[#This Row],[ANFANGSSALDO]],ZahlungsZeitplan[[#This Row],[ANFANGSSALDO]]-ZahlungsZeitplan[[#This Row],[KAPITAL]],0),"")</f>
        <v>77423.717661314469</v>
      </c>
      <c r="K123" s="195">
        <f ca="1">IF(ZahlungsZeitplan[[#This Row],['#]]&lt;&gt;"",SUM(INDEX(ZahlungsZeitplan[ZINSEN],1,1):ZahlungsZeitplan[[#This Row],[ZINSEN]]),"")</f>
        <v>14551.248467430871</v>
      </c>
    </row>
    <row r="124" spans="2:11">
      <c r="B124" s="193">
        <f ca="1">IF(DarlehenIstGut,IF(ROW()-ROW(ZahlungsZeitplan[[#Headers],['#]])&gt;PlanmäßigeAnzahlZahlungen,"",ROW()-ROW(ZahlungsZeitplan[[#Headers],['#]])),"")</f>
        <v>111</v>
      </c>
      <c r="C124" s="194">
        <f ca="1">IF(ZahlungsZeitplan[[#This Row],['#]]&lt;&gt;"",EOMONTH(DarlehensAnfangsDatum,ROW(ZahlungsZeitplan[[#This Row],['#]])-ROW(ZahlungsZeitplan[[#Headers],['#]])-2)+DAY(DarlehensAnfangsDatum),"")</f>
        <v>48673</v>
      </c>
      <c r="D124" s="195">
        <f ca="1">IF(ZahlungsZeitplan[[#This Row],['#]]&lt;&gt;"",IF(ROW()-ROW(ZahlungsZeitplan[[#Headers],[ANFANGSSALDO]])=1,DarlehensBetrag,INDEX(ZahlungsZeitplan[ENDSALDO],ROW()-ROW(ZahlungsZeitplan[[#Headers],[ANFANGSSALDO]])-1)),"")</f>
        <v>77423.717661314469</v>
      </c>
      <c r="E124" s="195">
        <f ca="1">IF(ZahlungsZeitplan[[#This Row],['#]]&lt;&gt;"",PlanmäßigeZahlung,"")</f>
        <v>645.29573460105871</v>
      </c>
      <c r="F12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4" s="195">
        <f ca="1">IF(ZahlungsZeitplan[[#This Row],['#]]&lt;&gt;"",ZahlungsZeitplan[[#This Row],[GESAMTZAHLUNG]]-ZahlungsZeitplan[[#This Row],[ZINSEN]],"")</f>
        <v>549.16128517159325</v>
      </c>
      <c r="I124" s="195">
        <f ca="1">IF(ZahlungsZeitplan[[#This Row],['#]]&lt;=($D$8*12),IF(ZahlungsZeitplan[[#This Row],['#]]&lt;&gt;"",ZahlungsZeitplan[[#This Row],[ANFANGSSALDO]]*(ZinsSatz/ZahlungenProJahr),""),IF(ZahlungsZeitplan[[#This Row],['#]]&lt;&gt;"",ZahlungsZeitplan[[#This Row],[ANFANGSSALDO]]*((ZinsSatz+$D$9)/ZahlungenProJahr),""))</f>
        <v>96.134449429465477</v>
      </c>
      <c r="J124" s="195">
        <f ca="1">IF(ZahlungsZeitplan[[#This Row],['#]]&lt;&gt;"",IF(ZahlungsZeitplan[[#This Row],[Zahlungen (Plan)]]+ZahlungsZeitplan[[#This Row],[SONDERZAHLUNG]]&lt;=ZahlungsZeitplan[[#This Row],[ANFANGSSALDO]],ZahlungsZeitplan[[#This Row],[ANFANGSSALDO]]-ZahlungsZeitplan[[#This Row],[KAPITAL]],0),"")</f>
        <v>76874.556376142878</v>
      </c>
      <c r="K124" s="195">
        <f ca="1">IF(ZahlungsZeitplan[[#This Row],['#]]&lt;&gt;"",SUM(INDEX(ZahlungsZeitplan[ZINSEN],1,1):ZahlungsZeitplan[[#This Row],[ZINSEN]]),"")</f>
        <v>14647.382916860337</v>
      </c>
    </row>
    <row r="125" spans="2:11">
      <c r="B125" s="193">
        <f ca="1">IF(DarlehenIstGut,IF(ROW()-ROW(ZahlungsZeitplan[[#Headers],['#]])&gt;PlanmäßigeAnzahlZahlungen,"",ROW()-ROW(ZahlungsZeitplan[[#Headers],['#]])),"")</f>
        <v>112</v>
      </c>
      <c r="C125" s="194">
        <f ca="1">IF(ZahlungsZeitplan[[#This Row],['#]]&lt;&gt;"",EOMONTH(DarlehensAnfangsDatum,ROW(ZahlungsZeitplan[[#This Row],['#]])-ROW(ZahlungsZeitplan[[#Headers],['#]])-2)+DAY(DarlehensAnfangsDatum),"")</f>
        <v>48703</v>
      </c>
      <c r="D125" s="195">
        <f ca="1">IF(ZahlungsZeitplan[[#This Row],['#]]&lt;&gt;"",IF(ROW()-ROW(ZahlungsZeitplan[[#Headers],[ANFANGSSALDO]])=1,DarlehensBetrag,INDEX(ZahlungsZeitplan[ENDSALDO],ROW()-ROW(ZahlungsZeitplan[[#Headers],[ANFANGSSALDO]])-1)),"")</f>
        <v>76874.556376142878</v>
      </c>
      <c r="E125" s="195">
        <f ca="1">IF(ZahlungsZeitplan[[#This Row],['#]]&lt;&gt;"",PlanmäßigeZahlung,"")</f>
        <v>645.29573460105871</v>
      </c>
      <c r="F12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5" s="195">
        <f ca="1">IF(ZahlungsZeitplan[[#This Row],['#]]&lt;&gt;"",ZahlungsZeitplan[[#This Row],[GESAMTZAHLUNG]]-ZahlungsZeitplan[[#This Row],[ZINSEN]],"")</f>
        <v>549.84316043401464</v>
      </c>
      <c r="I125" s="195">
        <f ca="1">IF(ZahlungsZeitplan[[#This Row],['#]]&lt;=($D$8*12),IF(ZahlungsZeitplan[[#This Row],['#]]&lt;&gt;"",ZahlungsZeitplan[[#This Row],[ANFANGSSALDO]]*(ZinsSatz/ZahlungenProJahr),""),IF(ZahlungsZeitplan[[#This Row],['#]]&lt;&gt;"",ZahlungsZeitplan[[#This Row],[ANFANGSSALDO]]*((ZinsSatz+$D$9)/ZahlungenProJahr),""))</f>
        <v>95.452574167044077</v>
      </c>
      <c r="J125" s="195">
        <f ca="1">IF(ZahlungsZeitplan[[#This Row],['#]]&lt;&gt;"",IF(ZahlungsZeitplan[[#This Row],[Zahlungen (Plan)]]+ZahlungsZeitplan[[#This Row],[SONDERZAHLUNG]]&lt;=ZahlungsZeitplan[[#This Row],[ANFANGSSALDO]],ZahlungsZeitplan[[#This Row],[ANFANGSSALDO]]-ZahlungsZeitplan[[#This Row],[KAPITAL]],0),"")</f>
        <v>76324.713215708864</v>
      </c>
      <c r="K125" s="195">
        <f ca="1">IF(ZahlungsZeitplan[[#This Row],['#]]&lt;&gt;"",SUM(INDEX(ZahlungsZeitplan[ZINSEN],1,1):ZahlungsZeitplan[[#This Row],[ZINSEN]]),"")</f>
        <v>14742.835491027381</v>
      </c>
    </row>
    <row r="126" spans="2:11">
      <c r="B126" s="193">
        <f ca="1">IF(DarlehenIstGut,IF(ROW()-ROW(ZahlungsZeitplan[[#Headers],['#]])&gt;PlanmäßigeAnzahlZahlungen,"",ROW()-ROW(ZahlungsZeitplan[[#Headers],['#]])),"")</f>
        <v>113</v>
      </c>
      <c r="C126" s="194">
        <f ca="1">IF(ZahlungsZeitplan[[#This Row],['#]]&lt;&gt;"",EOMONTH(DarlehensAnfangsDatum,ROW(ZahlungsZeitplan[[#This Row],['#]])-ROW(ZahlungsZeitplan[[#Headers],['#]])-2)+DAY(DarlehensAnfangsDatum),"")</f>
        <v>48734</v>
      </c>
      <c r="D126" s="195">
        <f ca="1">IF(ZahlungsZeitplan[[#This Row],['#]]&lt;&gt;"",IF(ROW()-ROW(ZahlungsZeitplan[[#Headers],[ANFANGSSALDO]])=1,DarlehensBetrag,INDEX(ZahlungsZeitplan[ENDSALDO],ROW()-ROW(ZahlungsZeitplan[[#Headers],[ANFANGSSALDO]])-1)),"")</f>
        <v>76324.713215708864</v>
      </c>
      <c r="E126" s="195">
        <f ca="1">IF(ZahlungsZeitplan[[#This Row],['#]]&lt;&gt;"",PlanmäßigeZahlung,"")</f>
        <v>645.29573460105871</v>
      </c>
      <c r="F12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6" s="195">
        <f ca="1">IF(ZahlungsZeitplan[[#This Row],['#]]&lt;&gt;"",ZahlungsZeitplan[[#This Row],[GESAMTZAHLUNG]]-ZahlungsZeitplan[[#This Row],[ZINSEN]],"")</f>
        <v>550.5258823582202</v>
      </c>
      <c r="I126" s="195">
        <f ca="1">IF(ZahlungsZeitplan[[#This Row],['#]]&lt;=($D$8*12),IF(ZahlungsZeitplan[[#This Row],['#]]&lt;&gt;"",ZahlungsZeitplan[[#This Row],[ANFANGSSALDO]]*(ZinsSatz/ZahlungenProJahr),""),IF(ZahlungsZeitplan[[#This Row],['#]]&lt;&gt;"",ZahlungsZeitplan[[#This Row],[ANFANGSSALDO]]*((ZinsSatz+$D$9)/ZahlungenProJahr),""))</f>
        <v>94.76985224283851</v>
      </c>
      <c r="J126" s="195">
        <f ca="1">IF(ZahlungsZeitplan[[#This Row],['#]]&lt;&gt;"",IF(ZahlungsZeitplan[[#This Row],[Zahlungen (Plan)]]+ZahlungsZeitplan[[#This Row],[SONDERZAHLUNG]]&lt;=ZahlungsZeitplan[[#This Row],[ANFANGSSALDO]],ZahlungsZeitplan[[#This Row],[ANFANGSSALDO]]-ZahlungsZeitplan[[#This Row],[KAPITAL]],0),"")</f>
        <v>75774.187333350637</v>
      </c>
      <c r="K126" s="195">
        <f ca="1">IF(ZahlungsZeitplan[[#This Row],['#]]&lt;&gt;"",SUM(INDEX(ZahlungsZeitplan[ZINSEN],1,1):ZahlungsZeitplan[[#This Row],[ZINSEN]]),"")</f>
        <v>14837.605343270219</v>
      </c>
    </row>
    <row r="127" spans="2:11">
      <c r="B127" s="193">
        <f ca="1">IF(DarlehenIstGut,IF(ROW()-ROW(ZahlungsZeitplan[[#Headers],['#]])&gt;PlanmäßigeAnzahlZahlungen,"",ROW()-ROW(ZahlungsZeitplan[[#Headers],['#]])),"")</f>
        <v>114</v>
      </c>
      <c r="C127" s="194">
        <f ca="1">IF(ZahlungsZeitplan[[#This Row],['#]]&lt;&gt;"",EOMONTH(DarlehensAnfangsDatum,ROW(ZahlungsZeitplan[[#This Row],['#]])-ROW(ZahlungsZeitplan[[#Headers],['#]])-2)+DAY(DarlehensAnfangsDatum),"")</f>
        <v>48764</v>
      </c>
      <c r="D127" s="195">
        <f ca="1">IF(ZahlungsZeitplan[[#This Row],['#]]&lt;&gt;"",IF(ROW()-ROW(ZahlungsZeitplan[[#Headers],[ANFANGSSALDO]])=1,DarlehensBetrag,INDEX(ZahlungsZeitplan[ENDSALDO],ROW()-ROW(ZahlungsZeitplan[[#Headers],[ANFANGSSALDO]])-1)),"")</f>
        <v>75774.187333350637</v>
      </c>
      <c r="E127" s="195">
        <f ca="1">IF(ZahlungsZeitplan[[#This Row],['#]]&lt;&gt;"",PlanmäßigeZahlung,"")</f>
        <v>645.29573460105871</v>
      </c>
      <c r="F12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7" s="195">
        <f ca="1">IF(ZahlungsZeitplan[[#This Row],['#]]&lt;&gt;"",ZahlungsZeitplan[[#This Row],[GESAMTZAHLUNG]]-ZahlungsZeitplan[[#This Row],[ZINSEN]],"")</f>
        <v>551.20945199548169</v>
      </c>
      <c r="I127" s="195">
        <f ca="1">IF(ZahlungsZeitplan[[#This Row],['#]]&lt;=($D$8*12),IF(ZahlungsZeitplan[[#This Row],['#]]&lt;&gt;"",ZahlungsZeitplan[[#This Row],[ANFANGSSALDO]]*(ZinsSatz/ZahlungenProJahr),""),IF(ZahlungsZeitplan[[#This Row],['#]]&lt;&gt;"",ZahlungsZeitplan[[#This Row],[ANFANGSSALDO]]*((ZinsSatz+$D$9)/ZahlungenProJahr),""))</f>
        <v>94.086282605577054</v>
      </c>
      <c r="J127" s="195">
        <f ca="1">IF(ZahlungsZeitplan[[#This Row],['#]]&lt;&gt;"",IF(ZahlungsZeitplan[[#This Row],[Zahlungen (Plan)]]+ZahlungsZeitplan[[#This Row],[SONDERZAHLUNG]]&lt;=ZahlungsZeitplan[[#This Row],[ANFANGSSALDO]],ZahlungsZeitplan[[#This Row],[ANFANGSSALDO]]-ZahlungsZeitplan[[#This Row],[KAPITAL]],0),"")</f>
        <v>75222.977881355153</v>
      </c>
      <c r="K127" s="195">
        <f ca="1">IF(ZahlungsZeitplan[[#This Row],['#]]&lt;&gt;"",SUM(INDEX(ZahlungsZeitplan[ZINSEN],1,1):ZahlungsZeitplan[[#This Row],[ZINSEN]]),"")</f>
        <v>14931.691625875796</v>
      </c>
    </row>
    <row r="128" spans="2:11">
      <c r="B128" s="193">
        <f ca="1">IF(DarlehenIstGut,IF(ROW()-ROW(ZahlungsZeitplan[[#Headers],['#]])&gt;PlanmäßigeAnzahlZahlungen,"",ROW()-ROW(ZahlungsZeitplan[[#Headers],['#]])),"")</f>
        <v>115</v>
      </c>
      <c r="C128" s="194">
        <f ca="1">IF(ZahlungsZeitplan[[#This Row],['#]]&lt;&gt;"",EOMONTH(DarlehensAnfangsDatum,ROW(ZahlungsZeitplan[[#This Row],['#]])-ROW(ZahlungsZeitplan[[#Headers],['#]])-2)+DAY(DarlehensAnfangsDatum),"")</f>
        <v>48795</v>
      </c>
      <c r="D128" s="195">
        <f ca="1">IF(ZahlungsZeitplan[[#This Row],['#]]&lt;&gt;"",IF(ROW()-ROW(ZahlungsZeitplan[[#Headers],[ANFANGSSALDO]])=1,DarlehensBetrag,INDEX(ZahlungsZeitplan[ENDSALDO],ROW()-ROW(ZahlungsZeitplan[[#Headers],[ANFANGSSALDO]])-1)),"")</f>
        <v>75222.977881355153</v>
      </c>
      <c r="E128" s="195">
        <f ca="1">IF(ZahlungsZeitplan[[#This Row],['#]]&lt;&gt;"",PlanmäßigeZahlung,"")</f>
        <v>645.29573460105871</v>
      </c>
      <c r="F12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8" s="195">
        <f ca="1">IF(ZahlungsZeitplan[[#This Row],['#]]&lt;&gt;"",ZahlungsZeitplan[[#This Row],[GESAMTZAHLUNG]]-ZahlungsZeitplan[[#This Row],[ZINSEN]],"")</f>
        <v>551.89387039837607</v>
      </c>
      <c r="I128" s="195">
        <f ca="1">IF(ZahlungsZeitplan[[#This Row],['#]]&lt;=($D$8*12),IF(ZahlungsZeitplan[[#This Row],['#]]&lt;&gt;"",ZahlungsZeitplan[[#This Row],[ANFANGSSALDO]]*(ZinsSatz/ZahlungenProJahr),""),IF(ZahlungsZeitplan[[#This Row],['#]]&lt;&gt;"",ZahlungsZeitplan[[#This Row],[ANFANGSSALDO]]*((ZinsSatz+$D$9)/ZahlungenProJahr),""))</f>
        <v>93.40186420268266</v>
      </c>
      <c r="J128" s="195">
        <f ca="1">IF(ZahlungsZeitplan[[#This Row],['#]]&lt;&gt;"",IF(ZahlungsZeitplan[[#This Row],[Zahlungen (Plan)]]+ZahlungsZeitplan[[#This Row],[SONDERZAHLUNG]]&lt;=ZahlungsZeitplan[[#This Row],[ANFANGSSALDO]],ZahlungsZeitplan[[#This Row],[ANFANGSSALDO]]-ZahlungsZeitplan[[#This Row],[KAPITAL]],0),"")</f>
        <v>74671.08401095678</v>
      </c>
      <c r="K128" s="195">
        <f ca="1">IF(ZahlungsZeitplan[[#This Row],['#]]&lt;&gt;"",SUM(INDEX(ZahlungsZeitplan[ZINSEN],1,1):ZahlungsZeitplan[[#This Row],[ZINSEN]]),"")</f>
        <v>15025.093490078478</v>
      </c>
    </row>
    <row r="129" spans="2:11">
      <c r="B129" s="193">
        <f ca="1">IF(DarlehenIstGut,IF(ROW()-ROW(ZahlungsZeitplan[[#Headers],['#]])&gt;PlanmäßigeAnzahlZahlungen,"",ROW()-ROW(ZahlungsZeitplan[[#Headers],['#]])),"")</f>
        <v>116</v>
      </c>
      <c r="C129" s="194">
        <f ca="1">IF(ZahlungsZeitplan[[#This Row],['#]]&lt;&gt;"",EOMONTH(DarlehensAnfangsDatum,ROW(ZahlungsZeitplan[[#This Row],['#]])-ROW(ZahlungsZeitplan[[#Headers],['#]])-2)+DAY(DarlehensAnfangsDatum),"")</f>
        <v>48826</v>
      </c>
      <c r="D129" s="195">
        <f ca="1">IF(ZahlungsZeitplan[[#This Row],['#]]&lt;&gt;"",IF(ROW()-ROW(ZahlungsZeitplan[[#Headers],[ANFANGSSALDO]])=1,DarlehensBetrag,INDEX(ZahlungsZeitplan[ENDSALDO],ROW()-ROW(ZahlungsZeitplan[[#Headers],[ANFANGSSALDO]])-1)),"")</f>
        <v>74671.08401095678</v>
      </c>
      <c r="E129" s="195">
        <f ca="1">IF(ZahlungsZeitplan[[#This Row],['#]]&lt;&gt;"",PlanmäßigeZahlung,"")</f>
        <v>645.29573460105871</v>
      </c>
      <c r="F12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2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29" s="195">
        <f ca="1">IF(ZahlungsZeitplan[[#This Row],['#]]&lt;&gt;"",ZahlungsZeitplan[[#This Row],[GESAMTZAHLUNG]]-ZahlungsZeitplan[[#This Row],[ZINSEN]],"")</f>
        <v>552.57913862078738</v>
      </c>
      <c r="I129" s="195">
        <f ca="1">IF(ZahlungsZeitplan[[#This Row],['#]]&lt;=($D$8*12),IF(ZahlungsZeitplan[[#This Row],['#]]&lt;&gt;"",ZahlungsZeitplan[[#This Row],[ANFANGSSALDO]]*(ZinsSatz/ZahlungenProJahr),""),IF(ZahlungsZeitplan[[#This Row],['#]]&lt;&gt;"",ZahlungsZeitplan[[#This Row],[ANFANGSSALDO]]*((ZinsSatz+$D$9)/ZahlungenProJahr),""))</f>
        <v>92.716595980271336</v>
      </c>
      <c r="J129" s="195">
        <f ca="1">IF(ZahlungsZeitplan[[#This Row],['#]]&lt;&gt;"",IF(ZahlungsZeitplan[[#This Row],[Zahlungen (Plan)]]+ZahlungsZeitplan[[#This Row],[SONDERZAHLUNG]]&lt;=ZahlungsZeitplan[[#This Row],[ANFANGSSALDO]],ZahlungsZeitplan[[#This Row],[ANFANGSSALDO]]-ZahlungsZeitplan[[#This Row],[KAPITAL]],0),"")</f>
        <v>74118.504872335994</v>
      </c>
      <c r="K129" s="195">
        <f ca="1">IF(ZahlungsZeitplan[[#This Row],['#]]&lt;&gt;"",SUM(INDEX(ZahlungsZeitplan[ZINSEN],1,1):ZahlungsZeitplan[[#This Row],[ZINSEN]]),"")</f>
        <v>15117.810086058749</v>
      </c>
    </row>
    <row r="130" spans="2:11">
      <c r="B130" s="193">
        <f ca="1">IF(DarlehenIstGut,IF(ROW()-ROW(ZahlungsZeitplan[[#Headers],['#]])&gt;PlanmäßigeAnzahlZahlungen,"",ROW()-ROW(ZahlungsZeitplan[[#Headers],['#]])),"")</f>
        <v>117</v>
      </c>
      <c r="C130" s="194">
        <f ca="1">IF(ZahlungsZeitplan[[#This Row],['#]]&lt;&gt;"",EOMONTH(DarlehensAnfangsDatum,ROW(ZahlungsZeitplan[[#This Row],['#]])-ROW(ZahlungsZeitplan[[#Headers],['#]])-2)+DAY(DarlehensAnfangsDatum),"")</f>
        <v>48856</v>
      </c>
      <c r="D130" s="195">
        <f ca="1">IF(ZahlungsZeitplan[[#This Row],['#]]&lt;&gt;"",IF(ROW()-ROW(ZahlungsZeitplan[[#Headers],[ANFANGSSALDO]])=1,DarlehensBetrag,INDEX(ZahlungsZeitplan[ENDSALDO],ROW()-ROW(ZahlungsZeitplan[[#Headers],[ANFANGSSALDO]])-1)),"")</f>
        <v>74118.504872335994</v>
      </c>
      <c r="E130" s="195">
        <f ca="1">IF(ZahlungsZeitplan[[#This Row],['#]]&lt;&gt;"",PlanmäßigeZahlung,"")</f>
        <v>645.29573460105871</v>
      </c>
      <c r="F13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0" s="195">
        <f ca="1">IF(ZahlungsZeitplan[[#This Row],['#]]&lt;&gt;"",ZahlungsZeitplan[[#This Row],[GESAMTZAHLUNG]]-ZahlungsZeitplan[[#This Row],[ZINSEN]],"")</f>
        <v>553.26525771790818</v>
      </c>
      <c r="I130" s="195">
        <f ca="1">IF(ZahlungsZeitplan[[#This Row],['#]]&lt;=($D$8*12),IF(ZahlungsZeitplan[[#This Row],['#]]&lt;&gt;"",ZahlungsZeitplan[[#This Row],[ANFANGSSALDO]]*(ZinsSatz/ZahlungenProJahr),""),IF(ZahlungsZeitplan[[#This Row],['#]]&lt;&gt;"",ZahlungsZeitplan[[#This Row],[ANFANGSSALDO]]*((ZinsSatz+$D$9)/ZahlungenProJahr),""))</f>
        <v>92.030476883150527</v>
      </c>
      <c r="J130" s="195">
        <f ca="1">IF(ZahlungsZeitplan[[#This Row],['#]]&lt;&gt;"",IF(ZahlungsZeitplan[[#This Row],[Zahlungen (Plan)]]+ZahlungsZeitplan[[#This Row],[SONDERZAHLUNG]]&lt;=ZahlungsZeitplan[[#This Row],[ANFANGSSALDO]],ZahlungsZeitplan[[#This Row],[ANFANGSSALDO]]-ZahlungsZeitplan[[#This Row],[KAPITAL]],0),"")</f>
        <v>73565.239614618084</v>
      </c>
      <c r="K130" s="195">
        <f ca="1">IF(ZahlungsZeitplan[[#This Row],['#]]&lt;&gt;"",SUM(INDEX(ZahlungsZeitplan[ZINSEN],1,1):ZahlungsZeitplan[[#This Row],[ZINSEN]]),"")</f>
        <v>15209.840562941899</v>
      </c>
    </row>
    <row r="131" spans="2:11">
      <c r="B131" s="193">
        <f ca="1">IF(DarlehenIstGut,IF(ROW()-ROW(ZahlungsZeitplan[[#Headers],['#]])&gt;PlanmäßigeAnzahlZahlungen,"",ROW()-ROW(ZahlungsZeitplan[[#Headers],['#]])),"")</f>
        <v>118</v>
      </c>
      <c r="C131" s="194">
        <f ca="1">IF(ZahlungsZeitplan[[#This Row],['#]]&lt;&gt;"",EOMONTH(DarlehensAnfangsDatum,ROW(ZahlungsZeitplan[[#This Row],['#]])-ROW(ZahlungsZeitplan[[#Headers],['#]])-2)+DAY(DarlehensAnfangsDatum),"")</f>
        <v>48887</v>
      </c>
      <c r="D131" s="195">
        <f ca="1">IF(ZahlungsZeitplan[[#This Row],['#]]&lt;&gt;"",IF(ROW()-ROW(ZahlungsZeitplan[[#Headers],[ANFANGSSALDO]])=1,DarlehensBetrag,INDEX(ZahlungsZeitplan[ENDSALDO],ROW()-ROW(ZahlungsZeitplan[[#Headers],[ANFANGSSALDO]])-1)),"")</f>
        <v>73565.239614618084</v>
      </c>
      <c r="E131" s="195">
        <f ca="1">IF(ZahlungsZeitplan[[#This Row],['#]]&lt;&gt;"",PlanmäßigeZahlung,"")</f>
        <v>645.29573460105871</v>
      </c>
      <c r="F13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1" s="195">
        <f ca="1">IF(ZahlungsZeitplan[[#This Row],['#]]&lt;&gt;"",ZahlungsZeitplan[[#This Row],[GESAMTZAHLUNG]]-ZahlungsZeitplan[[#This Row],[ZINSEN]],"")</f>
        <v>553.95222874624119</v>
      </c>
      <c r="I131" s="195">
        <f ca="1">IF(ZahlungsZeitplan[[#This Row],['#]]&lt;=($D$8*12),IF(ZahlungsZeitplan[[#This Row],['#]]&lt;&gt;"",ZahlungsZeitplan[[#This Row],[ANFANGSSALDO]]*(ZinsSatz/ZahlungenProJahr),""),IF(ZahlungsZeitplan[[#This Row],['#]]&lt;&gt;"",ZahlungsZeitplan[[#This Row],[ANFANGSSALDO]]*((ZinsSatz+$D$9)/ZahlungenProJahr),""))</f>
        <v>91.343505854817465</v>
      </c>
      <c r="J131" s="195">
        <f ca="1">IF(ZahlungsZeitplan[[#This Row],['#]]&lt;&gt;"",IF(ZahlungsZeitplan[[#This Row],[Zahlungen (Plan)]]+ZahlungsZeitplan[[#This Row],[SONDERZAHLUNG]]&lt;=ZahlungsZeitplan[[#This Row],[ANFANGSSALDO]],ZahlungsZeitplan[[#This Row],[ANFANGSSALDO]]-ZahlungsZeitplan[[#This Row],[KAPITAL]],0),"")</f>
        <v>73011.287385871838</v>
      </c>
      <c r="K131" s="195">
        <f ca="1">IF(ZahlungsZeitplan[[#This Row],['#]]&lt;&gt;"",SUM(INDEX(ZahlungsZeitplan[ZINSEN],1,1):ZahlungsZeitplan[[#This Row],[ZINSEN]]),"")</f>
        <v>15301.184068796716</v>
      </c>
    </row>
    <row r="132" spans="2:11">
      <c r="B132" s="193">
        <f ca="1">IF(DarlehenIstGut,IF(ROW()-ROW(ZahlungsZeitplan[[#Headers],['#]])&gt;PlanmäßigeAnzahlZahlungen,"",ROW()-ROW(ZahlungsZeitplan[[#Headers],['#]])),"")</f>
        <v>119</v>
      </c>
      <c r="C132" s="194">
        <f ca="1">IF(ZahlungsZeitplan[[#This Row],['#]]&lt;&gt;"",EOMONTH(DarlehensAnfangsDatum,ROW(ZahlungsZeitplan[[#This Row],['#]])-ROW(ZahlungsZeitplan[[#Headers],['#]])-2)+DAY(DarlehensAnfangsDatum),"")</f>
        <v>48917</v>
      </c>
      <c r="D132" s="195">
        <f ca="1">IF(ZahlungsZeitplan[[#This Row],['#]]&lt;&gt;"",IF(ROW()-ROW(ZahlungsZeitplan[[#Headers],[ANFANGSSALDO]])=1,DarlehensBetrag,INDEX(ZahlungsZeitplan[ENDSALDO],ROW()-ROW(ZahlungsZeitplan[[#Headers],[ANFANGSSALDO]])-1)),"")</f>
        <v>73011.287385871838</v>
      </c>
      <c r="E132" s="195">
        <f ca="1">IF(ZahlungsZeitplan[[#This Row],['#]]&lt;&gt;"",PlanmäßigeZahlung,"")</f>
        <v>645.29573460105871</v>
      </c>
      <c r="F13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2" s="195">
        <f ca="1">IF(ZahlungsZeitplan[[#This Row],['#]]&lt;&gt;"",ZahlungsZeitplan[[#This Row],[GESAMTZAHLUNG]]-ZahlungsZeitplan[[#This Row],[ZINSEN]],"")</f>
        <v>554.64005276360115</v>
      </c>
      <c r="I132" s="195">
        <f ca="1">IF(ZahlungsZeitplan[[#This Row],['#]]&lt;=($D$8*12),IF(ZahlungsZeitplan[[#This Row],['#]]&lt;&gt;"",ZahlungsZeitplan[[#This Row],[ANFANGSSALDO]]*(ZinsSatz/ZahlungenProJahr),""),IF(ZahlungsZeitplan[[#This Row],['#]]&lt;&gt;"",ZahlungsZeitplan[[#This Row],[ANFANGSSALDO]]*((ZinsSatz+$D$9)/ZahlungenProJahr),""))</f>
        <v>90.655681837457536</v>
      </c>
      <c r="J132" s="195">
        <f ca="1">IF(ZahlungsZeitplan[[#This Row],['#]]&lt;&gt;"",IF(ZahlungsZeitplan[[#This Row],[Zahlungen (Plan)]]+ZahlungsZeitplan[[#This Row],[SONDERZAHLUNG]]&lt;=ZahlungsZeitplan[[#This Row],[ANFANGSSALDO]],ZahlungsZeitplan[[#This Row],[ANFANGSSALDO]]-ZahlungsZeitplan[[#This Row],[KAPITAL]],0),"")</f>
        <v>72456.647333108238</v>
      </c>
      <c r="K132" s="195">
        <f ca="1">IF(ZahlungsZeitplan[[#This Row],['#]]&lt;&gt;"",SUM(INDEX(ZahlungsZeitplan[ZINSEN],1,1):ZahlungsZeitplan[[#This Row],[ZINSEN]]),"")</f>
        <v>15391.839750634173</v>
      </c>
    </row>
    <row r="133" spans="2:11">
      <c r="B133" s="193">
        <f ca="1">IF(DarlehenIstGut,IF(ROW()-ROW(ZahlungsZeitplan[[#Headers],['#]])&gt;PlanmäßigeAnzahlZahlungen,"",ROW()-ROW(ZahlungsZeitplan[[#Headers],['#]])),"")</f>
        <v>120</v>
      </c>
      <c r="C133" s="194">
        <f ca="1">IF(ZahlungsZeitplan[[#This Row],['#]]&lt;&gt;"",EOMONTH(DarlehensAnfangsDatum,ROW(ZahlungsZeitplan[[#This Row],['#]])-ROW(ZahlungsZeitplan[[#Headers],['#]])-2)+DAY(DarlehensAnfangsDatum),"")</f>
        <v>48948</v>
      </c>
      <c r="D133" s="195">
        <f ca="1">IF(ZahlungsZeitplan[[#This Row],['#]]&lt;&gt;"",IF(ROW()-ROW(ZahlungsZeitplan[[#Headers],[ANFANGSSALDO]])=1,DarlehensBetrag,INDEX(ZahlungsZeitplan[ENDSALDO],ROW()-ROW(ZahlungsZeitplan[[#Headers],[ANFANGSSALDO]])-1)),"")</f>
        <v>72456.647333108238</v>
      </c>
      <c r="E133" s="195">
        <f ca="1">IF(ZahlungsZeitplan[[#This Row],['#]]&lt;&gt;"",PlanmäßigeZahlung,"")</f>
        <v>645.29573460105871</v>
      </c>
      <c r="F13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3" s="195">
        <f ca="1">IF(ZahlungsZeitplan[[#This Row],['#]]&lt;&gt;"",ZahlungsZeitplan[[#This Row],[GESAMTZAHLUNG]]-ZahlungsZeitplan[[#This Row],[ZINSEN]],"")</f>
        <v>555.32873082911601</v>
      </c>
      <c r="I133" s="195">
        <f ca="1">IF(ZahlungsZeitplan[[#This Row],['#]]&lt;=($D$8*12),IF(ZahlungsZeitplan[[#This Row],['#]]&lt;&gt;"",ZahlungsZeitplan[[#This Row],[ANFANGSSALDO]]*(ZinsSatz/ZahlungenProJahr),""),IF(ZahlungsZeitplan[[#This Row],['#]]&lt;&gt;"",ZahlungsZeitplan[[#This Row],[ANFANGSSALDO]]*((ZinsSatz+$D$9)/ZahlungenProJahr),""))</f>
        <v>89.967003771942728</v>
      </c>
      <c r="J133" s="195">
        <f ca="1">IF(ZahlungsZeitplan[[#This Row],['#]]&lt;&gt;"",IF(ZahlungsZeitplan[[#This Row],[Zahlungen (Plan)]]+ZahlungsZeitplan[[#This Row],[SONDERZAHLUNG]]&lt;=ZahlungsZeitplan[[#This Row],[ANFANGSSALDO]],ZahlungsZeitplan[[#This Row],[ANFANGSSALDO]]-ZahlungsZeitplan[[#This Row],[KAPITAL]],0),"")</f>
        <v>71901.31860227912</v>
      </c>
      <c r="K133" s="195">
        <f ca="1">IF(ZahlungsZeitplan[[#This Row],['#]]&lt;&gt;"",SUM(INDEX(ZahlungsZeitplan[ZINSEN],1,1):ZahlungsZeitplan[[#This Row],[ZINSEN]]),"")</f>
        <v>15481.806754406116</v>
      </c>
    </row>
    <row r="134" spans="2:11">
      <c r="B134" s="193">
        <f ca="1">IF(DarlehenIstGut,IF(ROW()-ROW(ZahlungsZeitplan[[#Headers],['#]])&gt;PlanmäßigeAnzahlZahlungen,"",ROW()-ROW(ZahlungsZeitplan[[#Headers],['#]])),"")</f>
        <v>121</v>
      </c>
      <c r="C134" s="194">
        <f ca="1">IF(ZahlungsZeitplan[[#This Row],['#]]&lt;&gt;"",EOMONTH(DarlehensAnfangsDatum,ROW(ZahlungsZeitplan[[#This Row],['#]])-ROW(ZahlungsZeitplan[[#Headers],['#]])-2)+DAY(DarlehensAnfangsDatum),"")</f>
        <v>48979</v>
      </c>
      <c r="D134" s="195">
        <f ca="1">IF(ZahlungsZeitplan[[#This Row],['#]]&lt;&gt;"",IF(ROW()-ROW(ZahlungsZeitplan[[#Headers],[ANFANGSSALDO]])=1,DarlehensBetrag,INDEX(ZahlungsZeitplan[ENDSALDO],ROW()-ROW(ZahlungsZeitplan[[#Headers],[ANFANGSSALDO]])-1)),"")</f>
        <v>71901.31860227912</v>
      </c>
      <c r="E134" s="195">
        <f ca="1">IF(ZahlungsZeitplan[[#This Row],['#]]&lt;&gt;"",PlanmäßigeZahlung,"")</f>
        <v>645.29573460105871</v>
      </c>
      <c r="F13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4" s="195">
        <f ca="1">IF(ZahlungsZeitplan[[#This Row],['#]]&lt;&gt;"",ZahlungsZeitplan[[#This Row],[GESAMTZAHLUNG]]-ZahlungsZeitplan[[#This Row],[ZINSEN]],"")</f>
        <v>406.22385024848063</v>
      </c>
      <c r="I134" s="195">
        <f ca="1">IF(ZahlungsZeitplan[[#This Row],['#]]&lt;=($D$8*12),IF(ZahlungsZeitplan[[#This Row],['#]]&lt;&gt;"",ZahlungsZeitplan[[#This Row],[ANFANGSSALDO]]*(ZinsSatz/ZahlungenProJahr),""),IF(ZahlungsZeitplan[[#This Row],['#]]&lt;&gt;"",ZahlungsZeitplan[[#This Row],[ANFANGSSALDO]]*((ZinsSatz+$D$9)/ZahlungenProJahr),""))</f>
        <v>239.07188435257808</v>
      </c>
      <c r="J134" s="195">
        <f ca="1">IF(ZahlungsZeitplan[[#This Row],['#]]&lt;&gt;"",IF(ZahlungsZeitplan[[#This Row],[Zahlungen (Plan)]]+ZahlungsZeitplan[[#This Row],[SONDERZAHLUNG]]&lt;=ZahlungsZeitplan[[#This Row],[ANFANGSSALDO]],ZahlungsZeitplan[[#This Row],[ANFANGSSALDO]]-ZahlungsZeitplan[[#This Row],[KAPITAL]],0),"")</f>
        <v>71495.094752030636</v>
      </c>
      <c r="K134" s="195">
        <f ca="1">IF(ZahlungsZeitplan[[#This Row],['#]]&lt;&gt;"",SUM(INDEX(ZahlungsZeitplan[ZINSEN],1,1):ZahlungsZeitplan[[#This Row],[ZINSEN]]),"")</f>
        <v>15720.878638758693</v>
      </c>
    </row>
    <row r="135" spans="2:11">
      <c r="B135" s="193">
        <f ca="1">IF(DarlehenIstGut,IF(ROW()-ROW(ZahlungsZeitplan[[#Headers],['#]])&gt;PlanmäßigeAnzahlZahlungen,"",ROW()-ROW(ZahlungsZeitplan[[#Headers],['#]])),"")</f>
        <v>122</v>
      </c>
      <c r="C135" s="194">
        <f ca="1">IF(ZahlungsZeitplan[[#This Row],['#]]&lt;&gt;"",EOMONTH(DarlehensAnfangsDatum,ROW(ZahlungsZeitplan[[#This Row],['#]])-ROW(ZahlungsZeitplan[[#Headers],['#]])-2)+DAY(DarlehensAnfangsDatum),"")</f>
        <v>49007</v>
      </c>
      <c r="D135" s="195">
        <f ca="1">IF(ZahlungsZeitplan[[#This Row],['#]]&lt;&gt;"",IF(ROW()-ROW(ZahlungsZeitplan[[#Headers],[ANFANGSSALDO]])=1,DarlehensBetrag,INDEX(ZahlungsZeitplan[ENDSALDO],ROW()-ROW(ZahlungsZeitplan[[#Headers],[ANFANGSSALDO]])-1)),"")</f>
        <v>71495.094752030636</v>
      </c>
      <c r="E135" s="195">
        <f ca="1">IF(ZahlungsZeitplan[[#This Row],['#]]&lt;&gt;"",PlanmäßigeZahlung,"")</f>
        <v>645.29573460105871</v>
      </c>
      <c r="F13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5" s="195">
        <f ca="1">IF(ZahlungsZeitplan[[#This Row],['#]]&lt;&gt;"",ZahlungsZeitplan[[#This Row],[GESAMTZAHLUNG]]-ZahlungsZeitplan[[#This Row],[ZINSEN]],"")</f>
        <v>407.57454455055682</v>
      </c>
      <c r="I135" s="195">
        <f ca="1">IF(ZahlungsZeitplan[[#This Row],['#]]&lt;=($D$8*12),IF(ZahlungsZeitplan[[#This Row],['#]]&lt;&gt;"",ZahlungsZeitplan[[#This Row],[ANFANGSSALDO]]*(ZinsSatz/ZahlungenProJahr),""),IF(ZahlungsZeitplan[[#This Row],['#]]&lt;&gt;"",ZahlungsZeitplan[[#This Row],[ANFANGSSALDO]]*((ZinsSatz+$D$9)/ZahlungenProJahr),""))</f>
        <v>237.72119005050189</v>
      </c>
      <c r="J135" s="195">
        <f ca="1">IF(ZahlungsZeitplan[[#This Row],['#]]&lt;&gt;"",IF(ZahlungsZeitplan[[#This Row],[Zahlungen (Plan)]]+ZahlungsZeitplan[[#This Row],[SONDERZAHLUNG]]&lt;=ZahlungsZeitplan[[#This Row],[ANFANGSSALDO]],ZahlungsZeitplan[[#This Row],[ANFANGSSALDO]]-ZahlungsZeitplan[[#This Row],[KAPITAL]],0),"")</f>
        <v>71087.520207480076</v>
      </c>
      <c r="K135" s="195">
        <f ca="1">IF(ZahlungsZeitplan[[#This Row],['#]]&lt;&gt;"",SUM(INDEX(ZahlungsZeitplan[ZINSEN],1,1):ZahlungsZeitplan[[#This Row],[ZINSEN]]),"")</f>
        <v>15958.599828809196</v>
      </c>
    </row>
    <row r="136" spans="2:11">
      <c r="B136" s="193">
        <f ca="1">IF(DarlehenIstGut,IF(ROW()-ROW(ZahlungsZeitplan[[#Headers],['#]])&gt;PlanmäßigeAnzahlZahlungen,"",ROW()-ROW(ZahlungsZeitplan[[#Headers],['#]])),"")</f>
        <v>123</v>
      </c>
      <c r="C136" s="194">
        <f ca="1">IF(ZahlungsZeitplan[[#This Row],['#]]&lt;&gt;"",EOMONTH(DarlehensAnfangsDatum,ROW(ZahlungsZeitplan[[#This Row],['#]])-ROW(ZahlungsZeitplan[[#Headers],['#]])-2)+DAY(DarlehensAnfangsDatum),"")</f>
        <v>49038</v>
      </c>
      <c r="D136" s="195">
        <f ca="1">IF(ZahlungsZeitplan[[#This Row],['#]]&lt;&gt;"",IF(ROW()-ROW(ZahlungsZeitplan[[#Headers],[ANFANGSSALDO]])=1,DarlehensBetrag,INDEX(ZahlungsZeitplan[ENDSALDO],ROW()-ROW(ZahlungsZeitplan[[#Headers],[ANFANGSSALDO]])-1)),"")</f>
        <v>71087.520207480076</v>
      </c>
      <c r="E136" s="195">
        <f ca="1">IF(ZahlungsZeitplan[[#This Row],['#]]&lt;&gt;"",PlanmäßigeZahlung,"")</f>
        <v>645.29573460105871</v>
      </c>
      <c r="F13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6" s="195">
        <f ca="1">IF(ZahlungsZeitplan[[#This Row],['#]]&lt;&gt;"",ZahlungsZeitplan[[#This Row],[GESAMTZAHLUNG]]-ZahlungsZeitplan[[#This Row],[ZINSEN]],"")</f>
        <v>408.92972991118745</v>
      </c>
      <c r="I136" s="195">
        <f ca="1">IF(ZahlungsZeitplan[[#This Row],['#]]&lt;=($D$8*12),IF(ZahlungsZeitplan[[#This Row],['#]]&lt;&gt;"",ZahlungsZeitplan[[#This Row],[ANFANGSSALDO]]*(ZinsSatz/ZahlungenProJahr),""),IF(ZahlungsZeitplan[[#This Row],['#]]&lt;&gt;"",ZahlungsZeitplan[[#This Row],[ANFANGSSALDO]]*((ZinsSatz+$D$9)/ZahlungenProJahr),""))</f>
        <v>236.36600468987126</v>
      </c>
      <c r="J136" s="195">
        <f ca="1">IF(ZahlungsZeitplan[[#This Row],['#]]&lt;&gt;"",IF(ZahlungsZeitplan[[#This Row],[Zahlungen (Plan)]]+ZahlungsZeitplan[[#This Row],[SONDERZAHLUNG]]&lt;=ZahlungsZeitplan[[#This Row],[ANFANGSSALDO]],ZahlungsZeitplan[[#This Row],[ANFANGSSALDO]]-ZahlungsZeitplan[[#This Row],[KAPITAL]],0),"")</f>
        <v>70678.590477568883</v>
      </c>
      <c r="K136" s="195">
        <f ca="1">IF(ZahlungsZeitplan[[#This Row],['#]]&lt;&gt;"",SUM(INDEX(ZahlungsZeitplan[ZINSEN],1,1):ZahlungsZeitplan[[#This Row],[ZINSEN]]),"")</f>
        <v>16194.965833499067</v>
      </c>
    </row>
    <row r="137" spans="2:11">
      <c r="B137" s="193">
        <f ca="1">IF(DarlehenIstGut,IF(ROW()-ROW(ZahlungsZeitplan[[#Headers],['#]])&gt;PlanmäßigeAnzahlZahlungen,"",ROW()-ROW(ZahlungsZeitplan[[#Headers],['#]])),"")</f>
        <v>124</v>
      </c>
      <c r="C137" s="194">
        <f ca="1">IF(ZahlungsZeitplan[[#This Row],['#]]&lt;&gt;"",EOMONTH(DarlehensAnfangsDatum,ROW(ZahlungsZeitplan[[#This Row],['#]])-ROW(ZahlungsZeitplan[[#Headers],['#]])-2)+DAY(DarlehensAnfangsDatum),"")</f>
        <v>49068</v>
      </c>
      <c r="D137" s="195">
        <f ca="1">IF(ZahlungsZeitplan[[#This Row],['#]]&lt;&gt;"",IF(ROW()-ROW(ZahlungsZeitplan[[#Headers],[ANFANGSSALDO]])=1,DarlehensBetrag,INDEX(ZahlungsZeitplan[ENDSALDO],ROW()-ROW(ZahlungsZeitplan[[#Headers],[ANFANGSSALDO]])-1)),"")</f>
        <v>70678.590477568883</v>
      </c>
      <c r="E137" s="195">
        <f ca="1">IF(ZahlungsZeitplan[[#This Row],['#]]&lt;&gt;"",PlanmäßigeZahlung,"")</f>
        <v>645.29573460105871</v>
      </c>
      <c r="F13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7" s="195">
        <f ca="1">IF(ZahlungsZeitplan[[#This Row],['#]]&lt;&gt;"",ZahlungsZeitplan[[#This Row],[GESAMTZAHLUNG]]-ZahlungsZeitplan[[#This Row],[ZINSEN]],"")</f>
        <v>410.28942126314212</v>
      </c>
      <c r="I137" s="195">
        <f ca="1">IF(ZahlungsZeitplan[[#This Row],['#]]&lt;=($D$8*12),IF(ZahlungsZeitplan[[#This Row],['#]]&lt;&gt;"",ZahlungsZeitplan[[#This Row],[ANFANGSSALDO]]*(ZinsSatz/ZahlungenProJahr),""),IF(ZahlungsZeitplan[[#This Row],['#]]&lt;&gt;"",ZahlungsZeitplan[[#This Row],[ANFANGSSALDO]]*((ZinsSatz+$D$9)/ZahlungenProJahr),""))</f>
        <v>235.00631333791657</v>
      </c>
      <c r="J137" s="195">
        <f ca="1">IF(ZahlungsZeitplan[[#This Row],['#]]&lt;&gt;"",IF(ZahlungsZeitplan[[#This Row],[Zahlungen (Plan)]]+ZahlungsZeitplan[[#This Row],[SONDERZAHLUNG]]&lt;=ZahlungsZeitplan[[#This Row],[ANFANGSSALDO]],ZahlungsZeitplan[[#This Row],[ANFANGSSALDO]]-ZahlungsZeitplan[[#This Row],[KAPITAL]],0),"")</f>
        <v>70268.301056305747</v>
      </c>
      <c r="K137" s="195">
        <f ca="1">IF(ZahlungsZeitplan[[#This Row],['#]]&lt;&gt;"",SUM(INDEX(ZahlungsZeitplan[ZINSEN],1,1):ZahlungsZeitplan[[#This Row],[ZINSEN]]),"")</f>
        <v>16429.972146836983</v>
      </c>
    </row>
    <row r="138" spans="2:11">
      <c r="B138" s="193">
        <f ca="1">IF(DarlehenIstGut,IF(ROW()-ROW(ZahlungsZeitplan[[#Headers],['#]])&gt;PlanmäßigeAnzahlZahlungen,"",ROW()-ROW(ZahlungsZeitplan[[#Headers],['#]])),"")</f>
        <v>125</v>
      </c>
      <c r="C138" s="194">
        <f ca="1">IF(ZahlungsZeitplan[[#This Row],['#]]&lt;&gt;"",EOMONTH(DarlehensAnfangsDatum,ROW(ZahlungsZeitplan[[#This Row],['#]])-ROW(ZahlungsZeitplan[[#Headers],['#]])-2)+DAY(DarlehensAnfangsDatum),"")</f>
        <v>49099</v>
      </c>
      <c r="D138" s="195">
        <f ca="1">IF(ZahlungsZeitplan[[#This Row],['#]]&lt;&gt;"",IF(ROW()-ROW(ZahlungsZeitplan[[#Headers],[ANFANGSSALDO]])=1,DarlehensBetrag,INDEX(ZahlungsZeitplan[ENDSALDO],ROW()-ROW(ZahlungsZeitplan[[#Headers],[ANFANGSSALDO]])-1)),"")</f>
        <v>70268.301056305747</v>
      </c>
      <c r="E138" s="195">
        <f ca="1">IF(ZahlungsZeitplan[[#This Row],['#]]&lt;&gt;"",PlanmäßigeZahlung,"")</f>
        <v>645.29573460105871</v>
      </c>
      <c r="F13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8" s="195">
        <f ca="1">IF(ZahlungsZeitplan[[#This Row],['#]]&lt;&gt;"",ZahlungsZeitplan[[#This Row],[GESAMTZAHLUNG]]-ZahlungsZeitplan[[#This Row],[ZINSEN]],"")</f>
        <v>411.65363358884213</v>
      </c>
      <c r="I138" s="195">
        <f ca="1">IF(ZahlungsZeitplan[[#This Row],['#]]&lt;=($D$8*12),IF(ZahlungsZeitplan[[#This Row],['#]]&lt;&gt;"",ZahlungsZeitplan[[#This Row],[ANFANGSSALDO]]*(ZinsSatz/ZahlungenProJahr),""),IF(ZahlungsZeitplan[[#This Row],['#]]&lt;&gt;"",ZahlungsZeitplan[[#This Row],[ANFANGSSALDO]]*((ZinsSatz+$D$9)/ZahlungenProJahr),""))</f>
        <v>233.64210101221661</v>
      </c>
      <c r="J138" s="195">
        <f ca="1">IF(ZahlungsZeitplan[[#This Row],['#]]&lt;&gt;"",IF(ZahlungsZeitplan[[#This Row],[Zahlungen (Plan)]]+ZahlungsZeitplan[[#This Row],[SONDERZAHLUNG]]&lt;=ZahlungsZeitplan[[#This Row],[ANFANGSSALDO]],ZahlungsZeitplan[[#This Row],[ANFANGSSALDO]]-ZahlungsZeitplan[[#This Row],[KAPITAL]],0),"")</f>
        <v>69856.647422716909</v>
      </c>
      <c r="K138" s="195">
        <f ca="1">IF(ZahlungsZeitplan[[#This Row],['#]]&lt;&gt;"",SUM(INDEX(ZahlungsZeitplan[ZINSEN],1,1):ZahlungsZeitplan[[#This Row],[ZINSEN]]),"")</f>
        <v>16663.6142478492</v>
      </c>
    </row>
    <row r="139" spans="2:11">
      <c r="B139" s="193">
        <f ca="1">IF(DarlehenIstGut,IF(ROW()-ROW(ZahlungsZeitplan[[#Headers],['#]])&gt;PlanmäßigeAnzahlZahlungen,"",ROW()-ROW(ZahlungsZeitplan[[#Headers],['#]])),"")</f>
        <v>126</v>
      </c>
      <c r="C139" s="194">
        <f ca="1">IF(ZahlungsZeitplan[[#This Row],['#]]&lt;&gt;"",EOMONTH(DarlehensAnfangsDatum,ROW(ZahlungsZeitplan[[#This Row],['#]])-ROW(ZahlungsZeitplan[[#Headers],['#]])-2)+DAY(DarlehensAnfangsDatum),"")</f>
        <v>49129</v>
      </c>
      <c r="D139" s="195">
        <f ca="1">IF(ZahlungsZeitplan[[#This Row],['#]]&lt;&gt;"",IF(ROW()-ROW(ZahlungsZeitplan[[#Headers],[ANFANGSSALDO]])=1,DarlehensBetrag,INDEX(ZahlungsZeitplan[ENDSALDO],ROW()-ROW(ZahlungsZeitplan[[#Headers],[ANFANGSSALDO]])-1)),"")</f>
        <v>69856.647422716909</v>
      </c>
      <c r="E139" s="195">
        <f ca="1">IF(ZahlungsZeitplan[[#This Row],['#]]&lt;&gt;"",PlanmäßigeZahlung,"")</f>
        <v>645.29573460105871</v>
      </c>
      <c r="F13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3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39" s="195">
        <f ca="1">IF(ZahlungsZeitplan[[#This Row],['#]]&lt;&gt;"",ZahlungsZeitplan[[#This Row],[GESAMTZAHLUNG]]-ZahlungsZeitplan[[#This Row],[ZINSEN]],"")</f>
        <v>413.02238192052494</v>
      </c>
      <c r="I139" s="195">
        <f ca="1">IF(ZahlungsZeitplan[[#This Row],['#]]&lt;=($D$8*12),IF(ZahlungsZeitplan[[#This Row],['#]]&lt;&gt;"",ZahlungsZeitplan[[#This Row],[ANFANGSSALDO]]*(ZinsSatz/ZahlungenProJahr),""),IF(ZahlungsZeitplan[[#This Row],['#]]&lt;&gt;"",ZahlungsZeitplan[[#This Row],[ANFANGSSALDO]]*((ZinsSatz+$D$9)/ZahlungenProJahr),""))</f>
        <v>232.27335268053375</v>
      </c>
      <c r="J139" s="195">
        <f ca="1">IF(ZahlungsZeitplan[[#This Row],['#]]&lt;&gt;"",IF(ZahlungsZeitplan[[#This Row],[Zahlungen (Plan)]]+ZahlungsZeitplan[[#This Row],[SONDERZAHLUNG]]&lt;=ZahlungsZeitplan[[#This Row],[ANFANGSSALDO]],ZahlungsZeitplan[[#This Row],[ANFANGSSALDO]]-ZahlungsZeitplan[[#This Row],[KAPITAL]],0),"")</f>
        <v>69443.625040796382</v>
      </c>
      <c r="K139" s="195">
        <f ca="1">IF(ZahlungsZeitplan[[#This Row],['#]]&lt;&gt;"",SUM(INDEX(ZahlungsZeitplan[ZINSEN],1,1):ZahlungsZeitplan[[#This Row],[ZINSEN]]),"")</f>
        <v>16895.887600529735</v>
      </c>
    </row>
    <row r="140" spans="2:11">
      <c r="B140" s="193">
        <f ca="1">IF(DarlehenIstGut,IF(ROW()-ROW(ZahlungsZeitplan[[#Headers],['#]])&gt;PlanmäßigeAnzahlZahlungen,"",ROW()-ROW(ZahlungsZeitplan[[#Headers],['#]])),"")</f>
        <v>127</v>
      </c>
      <c r="C140" s="194">
        <f ca="1">IF(ZahlungsZeitplan[[#This Row],['#]]&lt;&gt;"",EOMONTH(DarlehensAnfangsDatum,ROW(ZahlungsZeitplan[[#This Row],['#]])-ROW(ZahlungsZeitplan[[#Headers],['#]])-2)+DAY(DarlehensAnfangsDatum),"")</f>
        <v>49160</v>
      </c>
      <c r="D140" s="195">
        <f ca="1">IF(ZahlungsZeitplan[[#This Row],['#]]&lt;&gt;"",IF(ROW()-ROW(ZahlungsZeitplan[[#Headers],[ANFANGSSALDO]])=1,DarlehensBetrag,INDEX(ZahlungsZeitplan[ENDSALDO],ROW()-ROW(ZahlungsZeitplan[[#Headers],[ANFANGSSALDO]])-1)),"")</f>
        <v>69443.625040796382</v>
      </c>
      <c r="E140" s="195">
        <f ca="1">IF(ZahlungsZeitplan[[#This Row],['#]]&lt;&gt;"",PlanmäßigeZahlung,"")</f>
        <v>645.29573460105871</v>
      </c>
      <c r="F14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0" s="195">
        <f ca="1">IF(ZahlungsZeitplan[[#This Row],['#]]&lt;&gt;"",ZahlungsZeitplan[[#This Row],[GESAMTZAHLUNG]]-ZahlungsZeitplan[[#This Row],[ZINSEN]],"")</f>
        <v>414.39568134041076</v>
      </c>
      <c r="I140" s="195">
        <f ca="1">IF(ZahlungsZeitplan[[#This Row],['#]]&lt;=($D$8*12),IF(ZahlungsZeitplan[[#This Row],['#]]&lt;&gt;"",ZahlungsZeitplan[[#This Row],[ANFANGSSALDO]]*(ZinsSatz/ZahlungenProJahr),""),IF(ZahlungsZeitplan[[#This Row],['#]]&lt;&gt;"",ZahlungsZeitplan[[#This Row],[ANFANGSSALDO]]*((ZinsSatz+$D$9)/ZahlungenProJahr),""))</f>
        <v>230.90005326064798</v>
      </c>
      <c r="J140" s="195">
        <f ca="1">IF(ZahlungsZeitplan[[#This Row],['#]]&lt;&gt;"",IF(ZahlungsZeitplan[[#This Row],[Zahlungen (Plan)]]+ZahlungsZeitplan[[#This Row],[SONDERZAHLUNG]]&lt;=ZahlungsZeitplan[[#This Row],[ANFANGSSALDO]],ZahlungsZeitplan[[#This Row],[ANFANGSSALDO]]-ZahlungsZeitplan[[#This Row],[KAPITAL]],0),"")</f>
        <v>69029.229359455974</v>
      </c>
      <c r="K140" s="195">
        <f ca="1">IF(ZahlungsZeitplan[[#This Row],['#]]&lt;&gt;"",SUM(INDEX(ZahlungsZeitplan[ZINSEN],1,1):ZahlungsZeitplan[[#This Row],[ZINSEN]]),"")</f>
        <v>17126.787653790383</v>
      </c>
    </row>
    <row r="141" spans="2:11">
      <c r="B141" s="193">
        <f ca="1">IF(DarlehenIstGut,IF(ROW()-ROW(ZahlungsZeitplan[[#Headers],['#]])&gt;PlanmäßigeAnzahlZahlungen,"",ROW()-ROW(ZahlungsZeitplan[[#Headers],['#]])),"")</f>
        <v>128</v>
      </c>
      <c r="C141" s="194">
        <f ca="1">IF(ZahlungsZeitplan[[#This Row],['#]]&lt;&gt;"",EOMONTH(DarlehensAnfangsDatum,ROW(ZahlungsZeitplan[[#This Row],['#]])-ROW(ZahlungsZeitplan[[#Headers],['#]])-2)+DAY(DarlehensAnfangsDatum),"")</f>
        <v>49191</v>
      </c>
      <c r="D141" s="195">
        <f ca="1">IF(ZahlungsZeitplan[[#This Row],['#]]&lt;&gt;"",IF(ROW()-ROW(ZahlungsZeitplan[[#Headers],[ANFANGSSALDO]])=1,DarlehensBetrag,INDEX(ZahlungsZeitplan[ENDSALDO],ROW()-ROW(ZahlungsZeitplan[[#Headers],[ANFANGSSALDO]])-1)),"")</f>
        <v>69029.229359455974</v>
      </c>
      <c r="E141" s="195">
        <f ca="1">IF(ZahlungsZeitplan[[#This Row],['#]]&lt;&gt;"",PlanmäßigeZahlung,"")</f>
        <v>645.29573460105871</v>
      </c>
      <c r="F14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1" s="195">
        <f ca="1">IF(ZahlungsZeitplan[[#This Row],['#]]&lt;&gt;"",ZahlungsZeitplan[[#This Row],[GESAMTZAHLUNG]]-ZahlungsZeitplan[[#This Row],[ZINSEN]],"")</f>
        <v>415.77354698086759</v>
      </c>
      <c r="I141" s="195">
        <f ca="1">IF(ZahlungsZeitplan[[#This Row],['#]]&lt;=($D$8*12),IF(ZahlungsZeitplan[[#This Row],['#]]&lt;&gt;"",ZahlungsZeitplan[[#This Row],[ANFANGSSALDO]]*(ZinsSatz/ZahlungenProJahr),""),IF(ZahlungsZeitplan[[#This Row],['#]]&lt;&gt;"",ZahlungsZeitplan[[#This Row],[ANFANGSSALDO]]*((ZinsSatz+$D$9)/ZahlungenProJahr),""))</f>
        <v>229.52218762019112</v>
      </c>
      <c r="J141" s="195">
        <f ca="1">IF(ZahlungsZeitplan[[#This Row],['#]]&lt;&gt;"",IF(ZahlungsZeitplan[[#This Row],[Zahlungen (Plan)]]+ZahlungsZeitplan[[#This Row],[SONDERZAHLUNG]]&lt;=ZahlungsZeitplan[[#This Row],[ANFANGSSALDO]],ZahlungsZeitplan[[#This Row],[ANFANGSSALDO]]-ZahlungsZeitplan[[#This Row],[KAPITAL]],0),"")</f>
        <v>68613.455812475106</v>
      </c>
      <c r="K141" s="195">
        <f ca="1">IF(ZahlungsZeitplan[[#This Row],['#]]&lt;&gt;"",SUM(INDEX(ZahlungsZeitplan[ZINSEN],1,1):ZahlungsZeitplan[[#This Row],[ZINSEN]]),"")</f>
        <v>17356.309841410573</v>
      </c>
    </row>
    <row r="142" spans="2:11">
      <c r="B142" s="193">
        <f ca="1">IF(DarlehenIstGut,IF(ROW()-ROW(ZahlungsZeitplan[[#Headers],['#]])&gt;PlanmäßigeAnzahlZahlungen,"",ROW()-ROW(ZahlungsZeitplan[[#Headers],['#]])),"")</f>
        <v>129</v>
      </c>
      <c r="C142" s="194">
        <f ca="1">IF(ZahlungsZeitplan[[#This Row],['#]]&lt;&gt;"",EOMONTH(DarlehensAnfangsDatum,ROW(ZahlungsZeitplan[[#This Row],['#]])-ROW(ZahlungsZeitplan[[#Headers],['#]])-2)+DAY(DarlehensAnfangsDatum),"")</f>
        <v>49221</v>
      </c>
      <c r="D142" s="195">
        <f ca="1">IF(ZahlungsZeitplan[[#This Row],['#]]&lt;&gt;"",IF(ROW()-ROW(ZahlungsZeitplan[[#Headers],[ANFANGSSALDO]])=1,DarlehensBetrag,INDEX(ZahlungsZeitplan[ENDSALDO],ROW()-ROW(ZahlungsZeitplan[[#Headers],[ANFANGSSALDO]])-1)),"")</f>
        <v>68613.455812475106</v>
      </c>
      <c r="E142" s="195">
        <f ca="1">IF(ZahlungsZeitplan[[#This Row],['#]]&lt;&gt;"",PlanmäßigeZahlung,"")</f>
        <v>645.29573460105871</v>
      </c>
      <c r="F14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2" s="195">
        <f ca="1">IF(ZahlungsZeitplan[[#This Row],['#]]&lt;&gt;"",ZahlungsZeitplan[[#This Row],[GESAMTZAHLUNG]]-ZahlungsZeitplan[[#This Row],[ZINSEN]],"")</f>
        <v>417.15599402457894</v>
      </c>
      <c r="I142" s="195">
        <f ca="1">IF(ZahlungsZeitplan[[#This Row],['#]]&lt;=($D$8*12),IF(ZahlungsZeitplan[[#This Row],['#]]&lt;&gt;"",ZahlungsZeitplan[[#This Row],[ANFANGSSALDO]]*(ZinsSatz/ZahlungenProJahr),""),IF(ZahlungsZeitplan[[#This Row],['#]]&lt;&gt;"",ZahlungsZeitplan[[#This Row],[ANFANGSSALDO]]*((ZinsSatz+$D$9)/ZahlungenProJahr),""))</f>
        <v>228.13974057647974</v>
      </c>
      <c r="J142" s="195">
        <f ca="1">IF(ZahlungsZeitplan[[#This Row],['#]]&lt;&gt;"",IF(ZahlungsZeitplan[[#This Row],[Zahlungen (Plan)]]+ZahlungsZeitplan[[#This Row],[SONDERZAHLUNG]]&lt;=ZahlungsZeitplan[[#This Row],[ANFANGSSALDO]],ZahlungsZeitplan[[#This Row],[ANFANGSSALDO]]-ZahlungsZeitplan[[#This Row],[KAPITAL]],0),"")</f>
        <v>68196.299818450527</v>
      </c>
      <c r="K142" s="195">
        <f ca="1">IF(ZahlungsZeitplan[[#This Row],['#]]&lt;&gt;"",SUM(INDEX(ZahlungsZeitplan[ZINSEN],1,1):ZahlungsZeitplan[[#This Row],[ZINSEN]]),"")</f>
        <v>17584.449581987054</v>
      </c>
    </row>
    <row r="143" spans="2:11">
      <c r="B143" s="193">
        <f ca="1">IF(DarlehenIstGut,IF(ROW()-ROW(ZahlungsZeitplan[[#Headers],['#]])&gt;PlanmäßigeAnzahlZahlungen,"",ROW()-ROW(ZahlungsZeitplan[[#Headers],['#]])),"")</f>
        <v>130</v>
      </c>
      <c r="C143" s="194">
        <f ca="1">IF(ZahlungsZeitplan[[#This Row],['#]]&lt;&gt;"",EOMONTH(DarlehensAnfangsDatum,ROW(ZahlungsZeitplan[[#This Row],['#]])-ROW(ZahlungsZeitplan[[#Headers],['#]])-2)+DAY(DarlehensAnfangsDatum),"")</f>
        <v>49252</v>
      </c>
      <c r="D143" s="195">
        <f ca="1">IF(ZahlungsZeitplan[[#This Row],['#]]&lt;&gt;"",IF(ROW()-ROW(ZahlungsZeitplan[[#Headers],[ANFANGSSALDO]])=1,DarlehensBetrag,INDEX(ZahlungsZeitplan[ENDSALDO],ROW()-ROW(ZahlungsZeitplan[[#Headers],[ANFANGSSALDO]])-1)),"")</f>
        <v>68196.299818450527</v>
      </c>
      <c r="E143" s="195">
        <f ca="1">IF(ZahlungsZeitplan[[#This Row],['#]]&lt;&gt;"",PlanmäßigeZahlung,"")</f>
        <v>645.29573460105871</v>
      </c>
      <c r="F14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3" s="195">
        <f ca="1">IF(ZahlungsZeitplan[[#This Row],['#]]&lt;&gt;"",ZahlungsZeitplan[[#This Row],[GESAMTZAHLUNG]]-ZahlungsZeitplan[[#This Row],[ZINSEN]],"")</f>
        <v>418.54303770471068</v>
      </c>
      <c r="I143" s="195">
        <f ca="1">IF(ZahlungsZeitplan[[#This Row],['#]]&lt;=($D$8*12),IF(ZahlungsZeitplan[[#This Row],['#]]&lt;&gt;"",ZahlungsZeitplan[[#This Row],[ANFANGSSALDO]]*(ZinsSatz/ZahlungenProJahr),""),IF(ZahlungsZeitplan[[#This Row],['#]]&lt;&gt;"",ZahlungsZeitplan[[#This Row],[ANFANGSSALDO]]*((ZinsSatz+$D$9)/ZahlungenProJahr),""))</f>
        <v>226.75269689634803</v>
      </c>
      <c r="J143" s="195">
        <f ca="1">IF(ZahlungsZeitplan[[#This Row],['#]]&lt;&gt;"",IF(ZahlungsZeitplan[[#This Row],[Zahlungen (Plan)]]+ZahlungsZeitplan[[#This Row],[SONDERZAHLUNG]]&lt;=ZahlungsZeitplan[[#This Row],[ANFANGSSALDO]],ZahlungsZeitplan[[#This Row],[ANFANGSSALDO]]-ZahlungsZeitplan[[#This Row],[KAPITAL]],0),"")</f>
        <v>67777.756780745811</v>
      </c>
      <c r="K143" s="195">
        <f ca="1">IF(ZahlungsZeitplan[[#This Row],['#]]&lt;&gt;"",SUM(INDEX(ZahlungsZeitplan[ZINSEN],1,1):ZahlungsZeitplan[[#This Row],[ZINSEN]]),"")</f>
        <v>17811.2022788834</v>
      </c>
    </row>
    <row r="144" spans="2:11">
      <c r="B144" s="193">
        <f ca="1">IF(DarlehenIstGut,IF(ROW()-ROW(ZahlungsZeitplan[[#Headers],['#]])&gt;PlanmäßigeAnzahlZahlungen,"",ROW()-ROW(ZahlungsZeitplan[[#Headers],['#]])),"")</f>
        <v>131</v>
      </c>
      <c r="C144" s="194">
        <f ca="1">IF(ZahlungsZeitplan[[#This Row],['#]]&lt;&gt;"",EOMONTH(DarlehensAnfangsDatum,ROW(ZahlungsZeitplan[[#This Row],['#]])-ROW(ZahlungsZeitplan[[#Headers],['#]])-2)+DAY(DarlehensAnfangsDatum),"")</f>
        <v>49282</v>
      </c>
      <c r="D144" s="195">
        <f ca="1">IF(ZahlungsZeitplan[[#This Row],['#]]&lt;&gt;"",IF(ROW()-ROW(ZahlungsZeitplan[[#Headers],[ANFANGSSALDO]])=1,DarlehensBetrag,INDEX(ZahlungsZeitplan[ENDSALDO],ROW()-ROW(ZahlungsZeitplan[[#Headers],[ANFANGSSALDO]])-1)),"")</f>
        <v>67777.756780745811</v>
      </c>
      <c r="E144" s="195">
        <f ca="1">IF(ZahlungsZeitplan[[#This Row],['#]]&lt;&gt;"",PlanmäßigeZahlung,"")</f>
        <v>645.29573460105871</v>
      </c>
      <c r="F14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4" s="195">
        <f ca="1">IF(ZahlungsZeitplan[[#This Row],['#]]&lt;&gt;"",ZahlungsZeitplan[[#This Row],[GESAMTZAHLUNG]]-ZahlungsZeitplan[[#This Row],[ZINSEN]],"")</f>
        <v>419.93469330507889</v>
      </c>
      <c r="I144" s="195">
        <f ca="1">IF(ZahlungsZeitplan[[#This Row],['#]]&lt;=($D$8*12),IF(ZahlungsZeitplan[[#This Row],['#]]&lt;&gt;"",ZahlungsZeitplan[[#This Row],[ANFANGSSALDO]]*(ZinsSatz/ZahlungenProJahr),""),IF(ZahlungsZeitplan[[#This Row],['#]]&lt;&gt;"",ZahlungsZeitplan[[#This Row],[ANFANGSSALDO]]*((ZinsSatz+$D$9)/ZahlungenProJahr),""))</f>
        <v>225.36104129597985</v>
      </c>
      <c r="J144" s="195">
        <f ca="1">IF(ZahlungsZeitplan[[#This Row],['#]]&lt;&gt;"",IF(ZahlungsZeitplan[[#This Row],[Zahlungen (Plan)]]+ZahlungsZeitplan[[#This Row],[SONDERZAHLUNG]]&lt;=ZahlungsZeitplan[[#This Row],[ANFANGSSALDO]],ZahlungsZeitplan[[#This Row],[ANFANGSSALDO]]-ZahlungsZeitplan[[#This Row],[KAPITAL]],0),"")</f>
        <v>67357.822087440727</v>
      </c>
      <c r="K144" s="195">
        <f ca="1">IF(ZahlungsZeitplan[[#This Row],['#]]&lt;&gt;"",SUM(INDEX(ZahlungsZeitplan[ZINSEN],1,1):ZahlungsZeitplan[[#This Row],[ZINSEN]]),"")</f>
        <v>18036.563320179379</v>
      </c>
    </row>
    <row r="145" spans="2:11">
      <c r="B145" s="193">
        <f ca="1">IF(DarlehenIstGut,IF(ROW()-ROW(ZahlungsZeitplan[[#Headers],['#]])&gt;PlanmäßigeAnzahlZahlungen,"",ROW()-ROW(ZahlungsZeitplan[[#Headers],['#]])),"")</f>
        <v>132</v>
      </c>
      <c r="C145" s="194">
        <f ca="1">IF(ZahlungsZeitplan[[#This Row],['#]]&lt;&gt;"",EOMONTH(DarlehensAnfangsDatum,ROW(ZahlungsZeitplan[[#This Row],['#]])-ROW(ZahlungsZeitplan[[#Headers],['#]])-2)+DAY(DarlehensAnfangsDatum),"")</f>
        <v>49313</v>
      </c>
      <c r="D145" s="195">
        <f ca="1">IF(ZahlungsZeitplan[[#This Row],['#]]&lt;&gt;"",IF(ROW()-ROW(ZahlungsZeitplan[[#Headers],[ANFANGSSALDO]])=1,DarlehensBetrag,INDEX(ZahlungsZeitplan[ENDSALDO],ROW()-ROW(ZahlungsZeitplan[[#Headers],[ANFANGSSALDO]])-1)),"")</f>
        <v>67357.822087440727</v>
      </c>
      <c r="E145" s="195">
        <f ca="1">IF(ZahlungsZeitplan[[#This Row],['#]]&lt;&gt;"",PlanmäßigeZahlung,"")</f>
        <v>645.29573460105871</v>
      </c>
      <c r="F14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5" s="195">
        <f ca="1">IF(ZahlungsZeitplan[[#This Row],['#]]&lt;&gt;"",ZahlungsZeitplan[[#This Row],[GESAMTZAHLUNG]]-ZahlungsZeitplan[[#This Row],[ZINSEN]],"")</f>
        <v>421.3309761603183</v>
      </c>
      <c r="I145" s="195">
        <f ca="1">IF(ZahlungsZeitplan[[#This Row],['#]]&lt;=($D$8*12),IF(ZahlungsZeitplan[[#This Row],['#]]&lt;&gt;"",ZahlungsZeitplan[[#This Row],[ANFANGSSALDO]]*(ZinsSatz/ZahlungenProJahr),""),IF(ZahlungsZeitplan[[#This Row],['#]]&lt;&gt;"",ZahlungsZeitplan[[#This Row],[ANFANGSSALDO]]*((ZinsSatz+$D$9)/ZahlungenProJahr),""))</f>
        <v>223.96475844074044</v>
      </c>
      <c r="J145" s="195">
        <f ca="1">IF(ZahlungsZeitplan[[#This Row],['#]]&lt;&gt;"",IF(ZahlungsZeitplan[[#This Row],[Zahlungen (Plan)]]+ZahlungsZeitplan[[#This Row],[SONDERZAHLUNG]]&lt;=ZahlungsZeitplan[[#This Row],[ANFANGSSALDO]],ZahlungsZeitplan[[#This Row],[ANFANGSSALDO]]-ZahlungsZeitplan[[#This Row],[KAPITAL]],0),"")</f>
        <v>66936.491111280411</v>
      </c>
      <c r="K145" s="195">
        <f ca="1">IF(ZahlungsZeitplan[[#This Row],['#]]&lt;&gt;"",SUM(INDEX(ZahlungsZeitplan[ZINSEN],1,1):ZahlungsZeitplan[[#This Row],[ZINSEN]]),"")</f>
        <v>18260.528078620118</v>
      </c>
    </row>
    <row r="146" spans="2:11">
      <c r="B146" s="193">
        <f ca="1">IF(DarlehenIstGut,IF(ROW()-ROW(ZahlungsZeitplan[[#Headers],['#]])&gt;PlanmäßigeAnzahlZahlungen,"",ROW()-ROW(ZahlungsZeitplan[[#Headers],['#]])),"")</f>
        <v>133</v>
      </c>
      <c r="C146" s="194">
        <f ca="1">IF(ZahlungsZeitplan[[#This Row],['#]]&lt;&gt;"",EOMONTH(DarlehensAnfangsDatum,ROW(ZahlungsZeitplan[[#This Row],['#]])-ROW(ZahlungsZeitplan[[#Headers],['#]])-2)+DAY(DarlehensAnfangsDatum),"")</f>
        <v>49344</v>
      </c>
      <c r="D146" s="195">
        <f ca="1">IF(ZahlungsZeitplan[[#This Row],['#]]&lt;&gt;"",IF(ROW()-ROW(ZahlungsZeitplan[[#Headers],[ANFANGSSALDO]])=1,DarlehensBetrag,INDEX(ZahlungsZeitplan[ENDSALDO],ROW()-ROW(ZahlungsZeitplan[[#Headers],[ANFANGSSALDO]])-1)),"")</f>
        <v>66936.491111280411</v>
      </c>
      <c r="E146" s="195">
        <f ca="1">IF(ZahlungsZeitplan[[#This Row],['#]]&lt;&gt;"",PlanmäßigeZahlung,"")</f>
        <v>645.29573460105871</v>
      </c>
      <c r="F14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6" s="195">
        <f ca="1">IF(ZahlungsZeitplan[[#This Row],['#]]&lt;&gt;"",ZahlungsZeitplan[[#This Row],[GESAMTZAHLUNG]]-ZahlungsZeitplan[[#This Row],[ZINSEN]],"")</f>
        <v>422.73190165605132</v>
      </c>
      <c r="I146" s="195">
        <f ca="1">IF(ZahlungsZeitplan[[#This Row],['#]]&lt;=($D$8*12),IF(ZahlungsZeitplan[[#This Row],['#]]&lt;&gt;"",ZahlungsZeitplan[[#This Row],[ANFANGSSALDO]]*(ZinsSatz/ZahlungenProJahr),""),IF(ZahlungsZeitplan[[#This Row],['#]]&lt;&gt;"",ZahlungsZeitplan[[#This Row],[ANFANGSSALDO]]*((ZinsSatz+$D$9)/ZahlungenProJahr),""))</f>
        <v>222.56383294500739</v>
      </c>
      <c r="J146" s="195">
        <f ca="1">IF(ZahlungsZeitplan[[#This Row],['#]]&lt;&gt;"",IF(ZahlungsZeitplan[[#This Row],[Zahlungen (Plan)]]+ZahlungsZeitplan[[#This Row],[SONDERZAHLUNG]]&lt;=ZahlungsZeitplan[[#This Row],[ANFANGSSALDO]],ZahlungsZeitplan[[#This Row],[ANFANGSSALDO]]-ZahlungsZeitplan[[#This Row],[KAPITAL]],0),"")</f>
        <v>66513.759209624361</v>
      </c>
      <c r="K146" s="195">
        <f ca="1">IF(ZahlungsZeitplan[[#This Row],['#]]&lt;&gt;"",SUM(INDEX(ZahlungsZeitplan[ZINSEN],1,1):ZahlungsZeitplan[[#This Row],[ZINSEN]]),"")</f>
        <v>18483.091911565127</v>
      </c>
    </row>
    <row r="147" spans="2:11">
      <c r="B147" s="193">
        <f ca="1">IF(DarlehenIstGut,IF(ROW()-ROW(ZahlungsZeitplan[[#Headers],['#]])&gt;PlanmäßigeAnzahlZahlungen,"",ROW()-ROW(ZahlungsZeitplan[[#Headers],['#]])),"")</f>
        <v>134</v>
      </c>
      <c r="C147" s="194">
        <f ca="1">IF(ZahlungsZeitplan[[#This Row],['#]]&lt;&gt;"",EOMONTH(DarlehensAnfangsDatum,ROW(ZahlungsZeitplan[[#This Row],['#]])-ROW(ZahlungsZeitplan[[#Headers],['#]])-2)+DAY(DarlehensAnfangsDatum),"")</f>
        <v>49372</v>
      </c>
      <c r="D147" s="195">
        <f ca="1">IF(ZahlungsZeitplan[[#This Row],['#]]&lt;&gt;"",IF(ROW()-ROW(ZahlungsZeitplan[[#Headers],[ANFANGSSALDO]])=1,DarlehensBetrag,INDEX(ZahlungsZeitplan[ENDSALDO],ROW()-ROW(ZahlungsZeitplan[[#Headers],[ANFANGSSALDO]])-1)),"")</f>
        <v>66513.759209624361</v>
      </c>
      <c r="E147" s="195">
        <f ca="1">IF(ZahlungsZeitplan[[#This Row],['#]]&lt;&gt;"",PlanmäßigeZahlung,"")</f>
        <v>645.29573460105871</v>
      </c>
      <c r="F14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7" s="195">
        <f ca="1">IF(ZahlungsZeitplan[[#This Row],['#]]&lt;&gt;"",ZahlungsZeitplan[[#This Row],[GESAMTZAHLUNG]]-ZahlungsZeitplan[[#This Row],[ZINSEN]],"")</f>
        <v>424.13748522905769</v>
      </c>
      <c r="I147" s="195">
        <f ca="1">IF(ZahlungsZeitplan[[#This Row],['#]]&lt;=($D$8*12),IF(ZahlungsZeitplan[[#This Row],['#]]&lt;&gt;"",ZahlungsZeitplan[[#This Row],[ANFANGSSALDO]]*(ZinsSatz/ZahlungenProJahr),""),IF(ZahlungsZeitplan[[#This Row],['#]]&lt;&gt;"",ZahlungsZeitplan[[#This Row],[ANFANGSSALDO]]*((ZinsSatz+$D$9)/ZahlungenProJahr),""))</f>
        <v>221.15824937200102</v>
      </c>
      <c r="J147" s="195">
        <f ca="1">IF(ZahlungsZeitplan[[#This Row],['#]]&lt;&gt;"",IF(ZahlungsZeitplan[[#This Row],[Zahlungen (Plan)]]+ZahlungsZeitplan[[#This Row],[SONDERZAHLUNG]]&lt;=ZahlungsZeitplan[[#This Row],[ANFANGSSALDO]],ZahlungsZeitplan[[#This Row],[ANFANGSSALDO]]-ZahlungsZeitplan[[#This Row],[KAPITAL]],0),"")</f>
        <v>66089.6217243953</v>
      </c>
      <c r="K147" s="195">
        <f ca="1">IF(ZahlungsZeitplan[[#This Row],['#]]&lt;&gt;"",SUM(INDEX(ZahlungsZeitplan[ZINSEN],1,1):ZahlungsZeitplan[[#This Row],[ZINSEN]]),"")</f>
        <v>18704.250160937128</v>
      </c>
    </row>
    <row r="148" spans="2:11">
      <c r="B148" s="193">
        <f ca="1">IF(DarlehenIstGut,IF(ROW()-ROW(ZahlungsZeitplan[[#Headers],['#]])&gt;PlanmäßigeAnzahlZahlungen,"",ROW()-ROW(ZahlungsZeitplan[[#Headers],['#]])),"")</f>
        <v>135</v>
      </c>
      <c r="C148" s="194">
        <f ca="1">IF(ZahlungsZeitplan[[#This Row],['#]]&lt;&gt;"",EOMONTH(DarlehensAnfangsDatum,ROW(ZahlungsZeitplan[[#This Row],['#]])-ROW(ZahlungsZeitplan[[#Headers],['#]])-2)+DAY(DarlehensAnfangsDatum),"")</f>
        <v>49403</v>
      </c>
      <c r="D148" s="195">
        <f ca="1">IF(ZahlungsZeitplan[[#This Row],['#]]&lt;&gt;"",IF(ROW()-ROW(ZahlungsZeitplan[[#Headers],[ANFANGSSALDO]])=1,DarlehensBetrag,INDEX(ZahlungsZeitplan[ENDSALDO],ROW()-ROW(ZahlungsZeitplan[[#Headers],[ANFANGSSALDO]])-1)),"")</f>
        <v>66089.6217243953</v>
      </c>
      <c r="E148" s="195">
        <f ca="1">IF(ZahlungsZeitplan[[#This Row],['#]]&lt;&gt;"",PlanmäßigeZahlung,"")</f>
        <v>645.29573460105871</v>
      </c>
      <c r="F14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8" s="195">
        <f ca="1">IF(ZahlungsZeitplan[[#This Row],['#]]&lt;&gt;"",ZahlungsZeitplan[[#This Row],[GESAMTZAHLUNG]]-ZahlungsZeitplan[[#This Row],[ZINSEN]],"")</f>
        <v>425.54774236744436</v>
      </c>
      <c r="I148" s="195">
        <f ca="1">IF(ZahlungsZeitplan[[#This Row],['#]]&lt;=($D$8*12),IF(ZahlungsZeitplan[[#This Row],['#]]&lt;&gt;"",ZahlungsZeitplan[[#This Row],[ANFANGSSALDO]]*(ZinsSatz/ZahlungenProJahr),""),IF(ZahlungsZeitplan[[#This Row],['#]]&lt;&gt;"",ZahlungsZeitplan[[#This Row],[ANFANGSSALDO]]*((ZinsSatz+$D$9)/ZahlungenProJahr),""))</f>
        <v>219.74799223361438</v>
      </c>
      <c r="J148" s="195">
        <f ca="1">IF(ZahlungsZeitplan[[#This Row],['#]]&lt;&gt;"",IF(ZahlungsZeitplan[[#This Row],[Zahlungen (Plan)]]+ZahlungsZeitplan[[#This Row],[SONDERZAHLUNG]]&lt;=ZahlungsZeitplan[[#This Row],[ANFANGSSALDO]],ZahlungsZeitplan[[#This Row],[ANFANGSSALDO]]-ZahlungsZeitplan[[#This Row],[KAPITAL]],0),"")</f>
        <v>65664.073982027854</v>
      </c>
      <c r="K148" s="195">
        <f ca="1">IF(ZahlungsZeitplan[[#This Row],['#]]&lt;&gt;"",SUM(INDEX(ZahlungsZeitplan[ZINSEN],1,1):ZahlungsZeitplan[[#This Row],[ZINSEN]]),"")</f>
        <v>18923.998153170742</v>
      </c>
    </row>
    <row r="149" spans="2:11">
      <c r="B149" s="193">
        <f ca="1">IF(DarlehenIstGut,IF(ROW()-ROW(ZahlungsZeitplan[[#Headers],['#]])&gt;PlanmäßigeAnzahlZahlungen,"",ROW()-ROW(ZahlungsZeitplan[[#Headers],['#]])),"")</f>
        <v>136</v>
      </c>
      <c r="C149" s="194">
        <f ca="1">IF(ZahlungsZeitplan[[#This Row],['#]]&lt;&gt;"",EOMONTH(DarlehensAnfangsDatum,ROW(ZahlungsZeitplan[[#This Row],['#]])-ROW(ZahlungsZeitplan[[#Headers],['#]])-2)+DAY(DarlehensAnfangsDatum),"")</f>
        <v>49433</v>
      </c>
      <c r="D149" s="195">
        <f ca="1">IF(ZahlungsZeitplan[[#This Row],['#]]&lt;&gt;"",IF(ROW()-ROW(ZahlungsZeitplan[[#Headers],[ANFANGSSALDO]])=1,DarlehensBetrag,INDEX(ZahlungsZeitplan[ENDSALDO],ROW()-ROW(ZahlungsZeitplan[[#Headers],[ANFANGSSALDO]])-1)),"")</f>
        <v>65664.073982027854</v>
      </c>
      <c r="E149" s="195">
        <f ca="1">IF(ZahlungsZeitplan[[#This Row],['#]]&lt;&gt;"",PlanmäßigeZahlung,"")</f>
        <v>645.29573460105871</v>
      </c>
      <c r="F14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4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49" s="195">
        <f ca="1">IF(ZahlungsZeitplan[[#This Row],['#]]&lt;&gt;"",ZahlungsZeitplan[[#This Row],[GESAMTZAHLUNG]]-ZahlungsZeitplan[[#This Row],[ZINSEN]],"")</f>
        <v>426.96268861081609</v>
      </c>
      <c r="I149" s="195">
        <f ca="1">IF(ZahlungsZeitplan[[#This Row],['#]]&lt;=($D$8*12),IF(ZahlungsZeitplan[[#This Row],['#]]&lt;&gt;"",ZahlungsZeitplan[[#This Row],[ANFANGSSALDO]]*(ZinsSatz/ZahlungenProJahr),""),IF(ZahlungsZeitplan[[#This Row],['#]]&lt;&gt;"",ZahlungsZeitplan[[#This Row],[ANFANGSSALDO]]*((ZinsSatz+$D$9)/ZahlungenProJahr),""))</f>
        <v>218.33304599024262</v>
      </c>
      <c r="J149" s="195">
        <f ca="1">IF(ZahlungsZeitplan[[#This Row],['#]]&lt;&gt;"",IF(ZahlungsZeitplan[[#This Row],[Zahlungen (Plan)]]+ZahlungsZeitplan[[#This Row],[SONDERZAHLUNG]]&lt;=ZahlungsZeitplan[[#This Row],[ANFANGSSALDO]],ZahlungsZeitplan[[#This Row],[ANFANGSSALDO]]-ZahlungsZeitplan[[#This Row],[KAPITAL]],0),"")</f>
        <v>65237.111293417038</v>
      </c>
      <c r="K149" s="195">
        <f ca="1">IF(ZahlungsZeitplan[[#This Row],['#]]&lt;&gt;"",SUM(INDEX(ZahlungsZeitplan[ZINSEN],1,1):ZahlungsZeitplan[[#This Row],[ZINSEN]]),"")</f>
        <v>19142.331199160984</v>
      </c>
    </row>
    <row r="150" spans="2:11">
      <c r="B150" s="193">
        <f ca="1">IF(DarlehenIstGut,IF(ROW()-ROW(ZahlungsZeitplan[[#Headers],['#]])&gt;PlanmäßigeAnzahlZahlungen,"",ROW()-ROW(ZahlungsZeitplan[[#Headers],['#]])),"")</f>
        <v>137</v>
      </c>
      <c r="C150" s="194">
        <f ca="1">IF(ZahlungsZeitplan[[#This Row],['#]]&lt;&gt;"",EOMONTH(DarlehensAnfangsDatum,ROW(ZahlungsZeitplan[[#This Row],['#]])-ROW(ZahlungsZeitplan[[#Headers],['#]])-2)+DAY(DarlehensAnfangsDatum),"")</f>
        <v>49464</v>
      </c>
      <c r="D150" s="195">
        <f ca="1">IF(ZahlungsZeitplan[[#This Row],['#]]&lt;&gt;"",IF(ROW()-ROW(ZahlungsZeitplan[[#Headers],[ANFANGSSALDO]])=1,DarlehensBetrag,INDEX(ZahlungsZeitplan[ENDSALDO],ROW()-ROW(ZahlungsZeitplan[[#Headers],[ANFANGSSALDO]])-1)),"")</f>
        <v>65237.111293417038</v>
      </c>
      <c r="E150" s="195">
        <f ca="1">IF(ZahlungsZeitplan[[#This Row],['#]]&lt;&gt;"",PlanmäßigeZahlung,"")</f>
        <v>645.29573460105871</v>
      </c>
      <c r="F15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0" s="195">
        <f ca="1">IF(ZahlungsZeitplan[[#This Row],['#]]&lt;&gt;"",ZahlungsZeitplan[[#This Row],[GESAMTZAHLUNG]]-ZahlungsZeitplan[[#This Row],[ZINSEN]],"")</f>
        <v>428.38233955044706</v>
      </c>
      <c r="I150" s="195">
        <f ca="1">IF(ZahlungsZeitplan[[#This Row],['#]]&lt;=($D$8*12),IF(ZahlungsZeitplan[[#This Row],['#]]&lt;&gt;"",ZahlungsZeitplan[[#This Row],[ANFANGSSALDO]]*(ZinsSatz/ZahlungenProJahr),""),IF(ZahlungsZeitplan[[#This Row],['#]]&lt;&gt;"",ZahlungsZeitplan[[#This Row],[ANFANGSSALDO]]*((ZinsSatz+$D$9)/ZahlungenProJahr),""))</f>
        <v>216.91339505061165</v>
      </c>
      <c r="J150" s="195">
        <f ca="1">IF(ZahlungsZeitplan[[#This Row],['#]]&lt;&gt;"",IF(ZahlungsZeitplan[[#This Row],[Zahlungen (Plan)]]+ZahlungsZeitplan[[#This Row],[SONDERZAHLUNG]]&lt;=ZahlungsZeitplan[[#This Row],[ANFANGSSALDO]],ZahlungsZeitplan[[#This Row],[ANFANGSSALDO]]-ZahlungsZeitplan[[#This Row],[KAPITAL]],0),"")</f>
        <v>64808.728953866594</v>
      </c>
      <c r="K150" s="195">
        <f ca="1">IF(ZahlungsZeitplan[[#This Row],['#]]&lt;&gt;"",SUM(INDEX(ZahlungsZeitplan[ZINSEN],1,1):ZahlungsZeitplan[[#This Row],[ZINSEN]]),"")</f>
        <v>19359.244594211596</v>
      </c>
    </row>
    <row r="151" spans="2:11">
      <c r="B151" s="193">
        <f ca="1">IF(DarlehenIstGut,IF(ROW()-ROW(ZahlungsZeitplan[[#Headers],['#]])&gt;PlanmäßigeAnzahlZahlungen,"",ROW()-ROW(ZahlungsZeitplan[[#Headers],['#]])),"")</f>
        <v>138</v>
      </c>
      <c r="C151" s="194">
        <f ca="1">IF(ZahlungsZeitplan[[#This Row],['#]]&lt;&gt;"",EOMONTH(DarlehensAnfangsDatum,ROW(ZahlungsZeitplan[[#This Row],['#]])-ROW(ZahlungsZeitplan[[#Headers],['#]])-2)+DAY(DarlehensAnfangsDatum),"")</f>
        <v>49494</v>
      </c>
      <c r="D151" s="195">
        <f ca="1">IF(ZahlungsZeitplan[[#This Row],['#]]&lt;&gt;"",IF(ROW()-ROW(ZahlungsZeitplan[[#Headers],[ANFANGSSALDO]])=1,DarlehensBetrag,INDEX(ZahlungsZeitplan[ENDSALDO],ROW()-ROW(ZahlungsZeitplan[[#Headers],[ANFANGSSALDO]])-1)),"")</f>
        <v>64808.728953866594</v>
      </c>
      <c r="E151" s="195">
        <f ca="1">IF(ZahlungsZeitplan[[#This Row],['#]]&lt;&gt;"",PlanmäßigeZahlung,"")</f>
        <v>645.29573460105871</v>
      </c>
      <c r="F15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1" s="195">
        <f ca="1">IF(ZahlungsZeitplan[[#This Row],['#]]&lt;&gt;"",ZahlungsZeitplan[[#This Row],[GESAMTZAHLUNG]]-ZahlungsZeitplan[[#This Row],[ZINSEN]],"")</f>
        <v>429.8067108294523</v>
      </c>
      <c r="I151" s="195">
        <f ca="1">IF(ZahlungsZeitplan[[#This Row],['#]]&lt;=($D$8*12),IF(ZahlungsZeitplan[[#This Row],['#]]&lt;&gt;"",ZahlungsZeitplan[[#This Row],[ANFANGSSALDO]]*(ZinsSatz/ZahlungenProJahr),""),IF(ZahlungsZeitplan[[#This Row],['#]]&lt;&gt;"",ZahlungsZeitplan[[#This Row],[ANFANGSSALDO]]*((ZinsSatz+$D$9)/ZahlungenProJahr),""))</f>
        <v>215.48902377160644</v>
      </c>
      <c r="J151" s="195">
        <f ca="1">IF(ZahlungsZeitplan[[#This Row],['#]]&lt;&gt;"",IF(ZahlungsZeitplan[[#This Row],[Zahlungen (Plan)]]+ZahlungsZeitplan[[#This Row],[SONDERZAHLUNG]]&lt;=ZahlungsZeitplan[[#This Row],[ANFANGSSALDO]],ZahlungsZeitplan[[#This Row],[ANFANGSSALDO]]-ZahlungsZeitplan[[#This Row],[KAPITAL]],0),"")</f>
        <v>64378.922243037145</v>
      </c>
      <c r="K151" s="195">
        <f ca="1">IF(ZahlungsZeitplan[[#This Row],['#]]&lt;&gt;"",SUM(INDEX(ZahlungsZeitplan[ZINSEN],1,1):ZahlungsZeitplan[[#This Row],[ZINSEN]]),"")</f>
        <v>19574.733617983202</v>
      </c>
    </row>
    <row r="152" spans="2:11">
      <c r="B152" s="193">
        <f ca="1">IF(DarlehenIstGut,IF(ROW()-ROW(ZahlungsZeitplan[[#Headers],['#]])&gt;PlanmäßigeAnzahlZahlungen,"",ROW()-ROW(ZahlungsZeitplan[[#Headers],['#]])),"")</f>
        <v>139</v>
      </c>
      <c r="C152" s="194">
        <f ca="1">IF(ZahlungsZeitplan[[#This Row],['#]]&lt;&gt;"",EOMONTH(DarlehensAnfangsDatum,ROW(ZahlungsZeitplan[[#This Row],['#]])-ROW(ZahlungsZeitplan[[#Headers],['#]])-2)+DAY(DarlehensAnfangsDatum),"")</f>
        <v>49525</v>
      </c>
      <c r="D152" s="195">
        <f ca="1">IF(ZahlungsZeitplan[[#This Row],['#]]&lt;&gt;"",IF(ROW()-ROW(ZahlungsZeitplan[[#Headers],[ANFANGSSALDO]])=1,DarlehensBetrag,INDEX(ZahlungsZeitplan[ENDSALDO],ROW()-ROW(ZahlungsZeitplan[[#Headers],[ANFANGSSALDO]])-1)),"")</f>
        <v>64378.922243037145</v>
      </c>
      <c r="E152" s="195">
        <f ca="1">IF(ZahlungsZeitplan[[#This Row],['#]]&lt;&gt;"",PlanmäßigeZahlung,"")</f>
        <v>645.29573460105871</v>
      </c>
      <c r="F15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2" s="195">
        <f ca="1">IF(ZahlungsZeitplan[[#This Row],['#]]&lt;&gt;"",ZahlungsZeitplan[[#This Row],[GESAMTZAHLUNG]]-ZahlungsZeitplan[[#This Row],[ZINSEN]],"")</f>
        <v>431.23581814296017</v>
      </c>
      <c r="I152" s="195">
        <f ca="1">IF(ZahlungsZeitplan[[#This Row],['#]]&lt;=($D$8*12),IF(ZahlungsZeitplan[[#This Row],['#]]&lt;&gt;"",ZahlungsZeitplan[[#This Row],[ANFANGSSALDO]]*(ZinsSatz/ZahlungenProJahr),""),IF(ZahlungsZeitplan[[#This Row],['#]]&lt;&gt;"",ZahlungsZeitplan[[#This Row],[ANFANGSSALDO]]*((ZinsSatz+$D$9)/ZahlungenProJahr),""))</f>
        <v>214.05991645809851</v>
      </c>
      <c r="J152" s="195">
        <f ca="1">IF(ZahlungsZeitplan[[#This Row],['#]]&lt;&gt;"",IF(ZahlungsZeitplan[[#This Row],[Zahlungen (Plan)]]+ZahlungsZeitplan[[#This Row],[SONDERZAHLUNG]]&lt;=ZahlungsZeitplan[[#This Row],[ANFANGSSALDO]],ZahlungsZeitplan[[#This Row],[ANFANGSSALDO]]-ZahlungsZeitplan[[#This Row],[KAPITAL]],0),"")</f>
        <v>63947.686424894186</v>
      </c>
      <c r="K152" s="195">
        <f ca="1">IF(ZahlungsZeitplan[[#This Row],['#]]&lt;&gt;"",SUM(INDEX(ZahlungsZeitplan[ZINSEN],1,1):ZahlungsZeitplan[[#This Row],[ZINSEN]]),"")</f>
        <v>19788.793534441302</v>
      </c>
    </row>
    <row r="153" spans="2:11">
      <c r="B153" s="193">
        <f ca="1">IF(DarlehenIstGut,IF(ROW()-ROW(ZahlungsZeitplan[[#Headers],['#]])&gt;PlanmäßigeAnzahlZahlungen,"",ROW()-ROW(ZahlungsZeitplan[[#Headers],['#]])),"")</f>
        <v>140</v>
      </c>
      <c r="C153" s="194">
        <f ca="1">IF(ZahlungsZeitplan[[#This Row],['#]]&lt;&gt;"",EOMONTH(DarlehensAnfangsDatum,ROW(ZahlungsZeitplan[[#This Row],['#]])-ROW(ZahlungsZeitplan[[#Headers],['#]])-2)+DAY(DarlehensAnfangsDatum),"")</f>
        <v>49556</v>
      </c>
      <c r="D153" s="195">
        <f ca="1">IF(ZahlungsZeitplan[[#This Row],['#]]&lt;&gt;"",IF(ROW()-ROW(ZahlungsZeitplan[[#Headers],[ANFANGSSALDO]])=1,DarlehensBetrag,INDEX(ZahlungsZeitplan[ENDSALDO],ROW()-ROW(ZahlungsZeitplan[[#Headers],[ANFANGSSALDO]])-1)),"")</f>
        <v>63947.686424894186</v>
      </c>
      <c r="E153" s="195">
        <f ca="1">IF(ZahlungsZeitplan[[#This Row],['#]]&lt;&gt;"",PlanmäßigeZahlung,"")</f>
        <v>645.29573460105871</v>
      </c>
      <c r="F15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3" s="195">
        <f ca="1">IF(ZahlungsZeitplan[[#This Row],['#]]&lt;&gt;"",ZahlungsZeitplan[[#This Row],[GESAMTZAHLUNG]]-ZahlungsZeitplan[[#This Row],[ZINSEN]],"")</f>
        <v>432.66967723828554</v>
      </c>
      <c r="I153" s="195">
        <f ca="1">IF(ZahlungsZeitplan[[#This Row],['#]]&lt;=($D$8*12),IF(ZahlungsZeitplan[[#This Row],['#]]&lt;&gt;"",ZahlungsZeitplan[[#This Row],[ANFANGSSALDO]]*(ZinsSatz/ZahlungenProJahr),""),IF(ZahlungsZeitplan[[#This Row],['#]]&lt;&gt;"",ZahlungsZeitplan[[#This Row],[ANFANGSSALDO]]*((ZinsSatz+$D$9)/ZahlungenProJahr),""))</f>
        <v>212.6260573627732</v>
      </c>
      <c r="J153" s="195">
        <f ca="1">IF(ZahlungsZeitplan[[#This Row],['#]]&lt;&gt;"",IF(ZahlungsZeitplan[[#This Row],[Zahlungen (Plan)]]+ZahlungsZeitplan[[#This Row],[SONDERZAHLUNG]]&lt;=ZahlungsZeitplan[[#This Row],[ANFANGSSALDO]],ZahlungsZeitplan[[#This Row],[ANFANGSSALDO]]-ZahlungsZeitplan[[#This Row],[KAPITAL]],0),"")</f>
        <v>63515.0167476559</v>
      </c>
      <c r="K153" s="195">
        <f ca="1">IF(ZahlungsZeitplan[[#This Row],['#]]&lt;&gt;"",SUM(INDEX(ZahlungsZeitplan[ZINSEN],1,1):ZahlungsZeitplan[[#This Row],[ZINSEN]]),"")</f>
        <v>20001.419591804075</v>
      </c>
    </row>
    <row r="154" spans="2:11">
      <c r="B154" s="193">
        <f ca="1">IF(DarlehenIstGut,IF(ROW()-ROW(ZahlungsZeitplan[[#Headers],['#]])&gt;PlanmäßigeAnzahlZahlungen,"",ROW()-ROW(ZahlungsZeitplan[[#Headers],['#]])),"")</f>
        <v>141</v>
      </c>
      <c r="C154" s="194">
        <f ca="1">IF(ZahlungsZeitplan[[#This Row],['#]]&lt;&gt;"",EOMONTH(DarlehensAnfangsDatum,ROW(ZahlungsZeitplan[[#This Row],['#]])-ROW(ZahlungsZeitplan[[#Headers],['#]])-2)+DAY(DarlehensAnfangsDatum),"")</f>
        <v>49586</v>
      </c>
      <c r="D154" s="195">
        <f ca="1">IF(ZahlungsZeitplan[[#This Row],['#]]&lt;&gt;"",IF(ROW()-ROW(ZahlungsZeitplan[[#Headers],[ANFANGSSALDO]])=1,DarlehensBetrag,INDEX(ZahlungsZeitplan[ENDSALDO],ROW()-ROW(ZahlungsZeitplan[[#Headers],[ANFANGSSALDO]])-1)),"")</f>
        <v>63515.0167476559</v>
      </c>
      <c r="E154" s="195">
        <f ca="1">IF(ZahlungsZeitplan[[#This Row],['#]]&lt;&gt;"",PlanmäßigeZahlung,"")</f>
        <v>645.29573460105871</v>
      </c>
      <c r="F15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4" s="195">
        <f ca="1">IF(ZahlungsZeitplan[[#This Row],['#]]&lt;&gt;"",ZahlungsZeitplan[[#This Row],[GESAMTZAHLUNG]]-ZahlungsZeitplan[[#This Row],[ZINSEN]],"")</f>
        <v>434.10830391510285</v>
      </c>
      <c r="I154" s="195">
        <f ca="1">IF(ZahlungsZeitplan[[#This Row],['#]]&lt;=($D$8*12),IF(ZahlungsZeitplan[[#This Row],['#]]&lt;&gt;"",ZahlungsZeitplan[[#This Row],[ANFANGSSALDO]]*(ZinsSatz/ZahlungenProJahr),""),IF(ZahlungsZeitplan[[#This Row],['#]]&lt;&gt;"",ZahlungsZeitplan[[#This Row],[ANFANGSSALDO]]*((ZinsSatz+$D$9)/ZahlungenProJahr),""))</f>
        <v>211.18743068595589</v>
      </c>
      <c r="J154" s="195">
        <f ca="1">IF(ZahlungsZeitplan[[#This Row],['#]]&lt;&gt;"",IF(ZahlungsZeitplan[[#This Row],[Zahlungen (Plan)]]+ZahlungsZeitplan[[#This Row],[SONDERZAHLUNG]]&lt;=ZahlungsZeitplan[[#This Row],[ANFANGSSALDO]],ZahlungsZeitplan[[#This Row],[ANFANGSSALDO]]-ZahlungsZeitplan[[#This Row],[KAPITAL]],0),"")</f>
        <v>63080.908443740795</v>
      </c>
      <c r="K154" s="195">
        <f ca="1">IF(ZahlungsZeitplan[[#This Row],['#]]&lt;&gt;"",SUM(INDEX(ZahlungsZeitplan[ZINSEN],1,1):ZahlungsZeitplan[[#This Row],[ZINSEN]]),"")</f>
        <v>20212.607022490032</v>
      </c>
    </row>
    <row r="155" spans="2:11">
      <c r="B155" s="193">
        <f ca="1">IF(DarlehenIstGut,IF(ROW()-ROW(ZahlungsZeitplan[[#Headers],['#]])&gt;PlanmäßigeAnzahlZahlungen,"",ROW()-ROW(ZahlungsZeitplan[[#Headers],['#]])),"")</f>
        <v>142</v>
      </c>
      <c r="C155" s="194">
        <f ca="1">IF(ZahlungsZeitplan[[#This Row],['#]]&lt;&gt;"",EOMONTH(DarlehensAnfangsDatum,ROW(ZahlungsZeitplan[[#This Row],['#]])-ROW(ZahlungsZeitplan[[#Headers],['#]])-2)+DAY(DarlehensAnfangsDatum),"")</f>
        <v>49617</v>
      </c>
      <c r="D155" s="195">
        <f ca="1">IF(ZahlungsZeitplan[[#This Row],['#]]&lt;&gt;"",IF(ROW()-ROW(ZahlungsZeitplan[[#Headers],[ANFANGSSALDO]])=1,DarlehensBetrag,INDEX(ZahlungsZeitplan[ENDSALDO],ROW()-ROW(ZahlungsZeitplan[[#Headers],[ANFANGSSALDO]])-1)),"")</f>
        <v>63080.908443740795</v>
      </c>
      <c r="E155" s="195">
        <f ca="1">IF(ZahlungsZeitplan[[#This Row],['#]]&lt;&gt;"",PlanmäßigeZahlung,"")</f>
        <v>645.29573460105871</v>
      </c>
      <c r="F15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5" s="195">
        <f ca="1">IF(ZahlungsZeitplan[[#This Row],['#]]&lt;&gt;"",ZahlungsZeitplan[[#This Row],[GESAMTZAHLUNG]]-ZahlungsZeitplan[[#This Row],[ZINSEN]],"")</f>
        <v>435.55171402562053</v>
      </c>
      <c r="I155" s="195">
        <f ca="1">IF(ZahlungsZeitplan[[#This Row],['#]]&lt;=($D$8*12),IF(ZahlungsZeitplan[[#This Row],['#]]&lt;&gt;"",ZahlungsZeitplan[[#This Row],[ANFANGSSALDO]]*(ZinsSatz/ZahlungenProJahr),""),IF(ZahlungsZeitplan[[#This Row],['#]]&lt;&gt;"",ZahlungsZeitplan[[#This Row],[ANFANGSSALDO]]*((ZinsSatz+$D$9)/ZahlungenProJahr),""))</f>
        <v>209.74402057543816</v>
      </c>
      <c r="J155" s="195">
        <f ca="1">IF(ZahlungsZeitplan[[#This Row],['#]]&lt;&gt;"",IF(ZahlungsZeitplan[[#This Row],[Zahlungen (Plan)]]+ZahlungsZeitplan[[#This Row],[SONDERZAHLUNG]]&lt;=ZahlungsZeitplan[[#This Row],[ANFANGSSALDO]],ZahlungsZeitplan[[#This Row],[ANFANGSSALDO]]-ZahlungsZeitplan[[#This Row],[KAPITAL]],0),"")</f>
        <v>62645.356729715175</v>
      </c>
      <c r="K155" s="195">
        <f ca="1">IF(ZahlungsZeitplan[[#This Row],['#]]&lt;&gt;"",SUM(INDEX(ZahlungsZeitplan[ZINSEN],1,1):ZahlungsZeitplan[[#This Row],[ZINSEN]]),"")</f>
        <v>20422.351043065471</v>
      </c>
    </row>
    <row r="156" spans="2:11">
      <c r="B156" s="193">
        <f ca="1">IF(DarlehenIstGut,IF(ROW()-ROW(ZahlungsZeitplan[[#Headers],['#]])&gt;PlanmäßigeAnzahlZahlungen,"",ROW()-ROW(ZahlungsZeitplan[[#Headers],['#]])),"")</f>
        <v>143</v>
      </c>
      <c r="C156" s="194">
        <f ca="1">IF(ZahlungsZeitplan[[#This Row],['#]]&lt;&gt;"",EOMONTH(DarlehensAnfangsDatum,ROW(ZahlungsZeitplan[[#This Row],['#]])-ROW(ZahlungsZeitplan[[#Headers],['#]])-2)+DAY(DarlehensAnfangsDatum),"")</f>
        <v>49647</v>
      </c>
      <c r="D156" s="195">
        <f ca="1">IF(ZahlungsZeitplan[[#This Row],['#]]&lt;&gt;"",IF(ROW()-ROW(ZahlungsZeitplan[[#Headers],[ANFANGSSALDO]])=1,DarlehensBetrag,INDEX(ZahlungsZeitplan[ENDSALDO],ROW()-ROW(ZahlungsZeitplan[[#Headers],[ANFANGSSALDO]])-1)),"")</f>
        <v>62645.356729715175</v>
      </c>
      <c r="E156" s="195">
        <f ca="1">IF(ZahlungsZeitplan[[#This Row],['#]]&lt;&gt;"",PlanmäßigeZahlung,"")</f>
        <v>645.29573460105871</v>
      </c>
      <c r="F15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6" s="195">
        <f ca="1">IF(ZahlungsZeitplan[[#This Row],['#]]&lt;&gt;"",ZahlungsZeitplan[[#This Row],[GESAMTZAHLUNG]]-ZahlungsZeitplan[[#This Row],[ZINSEN]],"")</f>
        <v>436.99992347475575</v>
      </c>
      <c r="I156" s="195">
        <f ca="1">IF(ZahlungsZeitplan[[#This Row],['#]]&lt;=($D$8*12),IF(ZahlungsZeitplan[[#This Row],['#]]&lt;&gt;"",ZahlungsZeitplan[[#This Row],[ANFANGSSALDO]]*(ZinsSatz/ZahlungenProJahr),""),IF(ZahlungsZeitplan[[#This Row],['#]]&lt;&gt;"",ZahlungsZeitplan[[#This Row],[ANFANGSSALDO]]*((ZinsSatz+$D$9)/ZahlungenProJahr),""))</f>
        <v>208.29581112630297</v>
      </c>
      <c r="J156" s="195">
        <f ca="1">IF(ZahlungsZeitplan[[#This Row],['#]]&lt;&gt;"",IF(ZahlungsZeitplan[[#This Row],[Zahlungen (Plan)]]+ZahlungsZeitplan[[#This Row],[SONDERZAHLUNG]]&lt;=ZahlungsZeitplan[[#This Row],[ANFANGSSALDO]],ZahlungsZeitplan[[#This Row],[ANFANGSSALDO]]-ZahlungsZeitplan[[#This Row],[KAPITAL]],0),"")</f>
        <v>62208.356806240416</v>
      </c>
      <c r="K156" s="195">
        <f ca="1">IF(ZahlungsZeitplan[[#This Row],['#]]&lt;&gt;"",SUM(INDEX(ZahlungsZeitplan[ZINSEN],1,1):ZahlungsZeitplan[[#This Row],[ZINSEN]]),"")</f>
        <v>20630.646854191775</v>
      </c>
    </row>
    <row r="157" spans="2:11">
      <c r="B157" s="193">
        <f ca="1">IF(DarlehenIstGut,IF(ROW()-ROW(ZahlungsZeitplan[[#Headers],['#]])&gt;PlanmäßigeAnzahlZahlungen,"",ROW()-ROW(ZahlungsZeitplan[[#Headers],['#]])),"")</f>
        <v>144</v>
      </c>
      <c r="C157" s="194">
        <f ca="1">IF(ZahlungsZeitplan[[#This Row],['#]]&lt;&gt;"",EOMONTH(DarlehensAnfangsDatum,ROW(ZahlungsZeitplan[[#This Row],['#]])-ROW(ZahlungsZeitplan[[#Headers],['#]])-2)+DAY(DarlehensAnfangsDatum),"")</f>
        <v>49678</v>
      </c>
      <c r="D157" s="195">
        <f ca="1">IF(ZahlungsZeitplan[[#This Row],['#]]&lt;&gt;"",IF(ROW()-ROW(ZahlungsZeitplan[[#Headers],[ANFANGSSALDO]])=1,DarlehensBetrag,INDEX(ZahlungsZeitplan[ENDSALDO],ROW()-ROW(ZahlungsZeitplan[[#Headers],[ANFANGSSALDO]])-1)),"")</f>
        <v>62208.356806240416</v>
      </c>
      <c r="E157" s="195">
        <f ca="1">IF(ZahlungsZeitplan[[#This Row],['#]]&lt;&gt;"",PlanmäßigeZahlung,"")</f>
        <v>645.29573460105871</v>
      </c>
      <c r="F15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7" s="195">
        <f ca="1">IF(ZahlungsZeitplan[[#This Row],['#]]&lt;&gt;"",ZahlungsZeitplan[[#This Row],[GESAMTZAHLUNG]]-ZahlungsZeitplan[[#This Row],[ZINSEN]],"")</f>
        <v>438.45294822030928</v>
      </c>
      <c r="I157" s="195">
        <f ca="1">IF(ZahlungsZeitplan[[#This Row],['#]]&lt;=($D$8*12),IF(ZahlungsZeitplan[[#This Row],['#]]&lt;&gt;"",ZahlungsZeitplan[[#This Row],[ANFANGSSALDO]]*(ZinsSatz/ZahlungenProJahr),""),IF(ZahlungsZeitplan[[#This Row],['#]]&lt;&gt;"",ZahlungsZeitplan[[#This Row],[ANFANGSSALDO]]*((ZinsSatz+$D$9)/ZahlungenProJahr),""))</f>
        <v>206.8427863807494</v>
      </c>
      <c r="J157" s="195">
        <f ca="1">IF(ZahlungsZeitplan[[#This Row],['#]]&lt;&gt;"",IF(ZahlungsZeitplan[[#This Row],[Zahlungen (Plan)]]+ZahlungsZeitplan[[#This Row],[SONDERZAHLUNG]]&lt;=ZahlungsZeitplan[[#This Row],[ANFANGSSALDO]],ZahlungsZeitplan[[#This Row],[ANFANGSSALDO]]-ZahlungsZeitplan[[#This Row],[KAPITAL]],0),"")</f>
        <v>61769.903858020109</v>
      </c>
      <c r="K157" s="195">
        <f ca="1">IF(ZahlungsZeitplan[[#This Row],['#]]&lt;&gt;"",SUM(INDEX(ZahlungsZeitplan[ZINSEN],1,1):ZahlungsZeitplan[[#This Row],[ZINSEN]]),"")</f>
        <v>20837.489640572523</v>
      </c>
    </row>
    <row r="158" spans="2:11">
      <c r="B158" s="193">
        <f ca="1">IF(DarlehenIstGut,IF(ROW()-ROW(ZahlungsZeitplan[[#Headers],['#]])&gt;PlanmäßigeAnzahlZahlungen,"",ROW()-ROW(ZahlungsZeitplan[[#Headers],['#]])),"")</f>
        <v>145</v>
      </c>
      <c r="C158" s="194">
        <f ca="1">IF(ZahlungsZeitplan[[#This Row],['#]]&lt;&gt;"",EOMONTH(DarlehensAnfangsDatum,ROW(ZahlungsZeitplan[[#This Row],['#]])-ROW(ZahlungsZeitplan[[#Headers],['#]])-2)+DAY(DarlehensAnfangsDatum),"")</f>
        <v>49709</v>
      </c>
      <c r="D158" s="195">
        <f ca="1">IF(ZahlungsZeitplan[[#This Row],['#]]&lt;&gt;"",IF(ROW()-ROW(ZahlungsZeitplan[[#Headers],[ANFANGSSALDO]])=1,DarlehensBetrag,INDEX(ZahlungsZeitplan[ENDSALDO],ROW()-ROW(ZahlungsZeitplan[[#Headers],[ANFANGSSALDO]])-1)),"")</f>
        <v>61769.903858020109</v>
      </c>
      <c r="E158" s="195">
        <f ca="1">IF(ZahlungsZeitplan[[#This Row],['#]]&lt;&gt;"",PlanmäßigeZahlung,"")</f>
        <v>645.29573460105871</v>
      </c>
      <c r="F15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8" s="195">
        <f ca="1">IF(ZahlungsZeitplan[[#This Row],['#]]&lt;&gt;"",ZahlungsZeitplan[[#This Row],[GESAMTZAHLUNG]]-ZahlungsZeitplan[[#This Row],[ZINSEN]],"")</f>
        <v>439.91080427314182</v>
      </c>
      <c r="I158" s="195">
        <f ca="1">IF(ZahlungsZeitplan[[#This Row],['#]]&lt;=($D$8*12),IF(ZahlungsZeitplan[[#This Row],['#]]&lt;&gt;"",ZahlungsZeitplan[[#This Row],[ANFANGSSALDO]]*(ZinsSatz/ZahlungenProJahr),""),IF(ZahlungsZeitplan[[#This Row],['#]]&lt;&gt;"",ZahlungsZeitplan[[#This Row],[ANFANGSSALDO]]*((ZinsSatz+$D$9)/ZahlungenProJahr),""))</f>
        <v>205.38493032791689</v>
      </c>
      <c r="J158" s="195">
        <f ca="1">IF(ZahlungsZeitplan[[#This Row],['#]]&lt;&gt;"",IF(ZahlungsZeitplan[[#This Row],[Zahlungen (Plan)]]+ZahlungsZeitplan[[#This Row],[SONDERZAHLUNG]]&lt;=ZahlungsZeitplan[[#This Row],[ANFANGSSALDO]],ZahlungsZeitplan[[#This Row],[ANFANGSSALDO]]-ZahlungsZeitplan[[#This Row],[KAPITAL]],0),"")</f>
        <v>61329.99305374697</v>
      </c>
      <c r="K158" s="195">
        <f ca="1">IF(ZahlungsZeitplan[[#This Row],['#]]&lt;&gt;"",SUM(INDEX(ZahlungsZeitplan[ZINSEN],1,1):ZahlungsZeitplan[[#This Row],[ZINSEN]]),"")</f>
        <v>21042.87457090044</v>
      </c>
    </row>
    <row r="159" spans="2:11">
      <c r="B159" s="193">
        <f ca="1">IF(DarlehenIstGut,IF(ROW()-ROW(ZahlungsZeitplan[[#Headers],['#]])&gt;PlanmäßigeAnzahlZahlungen,"",ROW()-ROW(ZahlungsZeitplan[[#Headers],['#]])),"")</f>
        <v>146</v>
      </c>
      <c r="C159" s="194">
        <f ca="1">IF(ZahlungsZeitplan[[#This Row],['#]]&lt;&gt;"",EOMONTH(DarlehensAnfangsDatum,ROW(ZahlungsZeitplan[[#This Row],['#]])-ROW(ZahlungsZeitplan[[#Headers],['#]])-2)+DAY(DarlehensAnfangsDatum),"")</f>
        <v>49738</v>
      </c>
      <c r="D159" s="195">
        <f ca="1">IF(ZahlungsZeitplan[[#This Row],['#]]&lt;&gt;"",IF(ROW()-ROW(ZahlungsZeitplan[[#Headers],[ANFANGSSALDO]])=1,DarlehensBetrag,INDEX(ZahlungsZeitplan[ENDSALDO],ROW()-ROW(ZahlungsZeitplan[[#Headers],[ANFANGSSALDO]])-1)),"")</f>
        <v>61329.99305374697</v>
      </c>
      <c r="E159" s="195">
        <f ca="1">IF(ZahlungsZeitplan[[#This Row],['#]]&lt;&gt;"",PlanmäßigeZahlung,"")</f>
        <v>645.29573460105871</v>
      </c>
      <c r="F15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5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59" s="195">
        <f ca="1">IF(ZahlungsZeitplan[[#This Row],['#]]&lt;&gt;"",ZahlungsZeitplan[[#This Row],[GESAMTZAHLUNG]]-ZahlungsZeitplan[[#This Row],[ZINSEN]],"")</f>
        <v>441.37350769735002</v>
      </c>
      <c r="I159" s="195">
        <f ca="1">IF(ZahlungsZeitplan[[#This Row],['#]]&lt;=($D$8*12),IF(ZahlungsZeitplan[[#This Row],['#]]&lt;&gt;"",ZahlungsZeitplan[[#This Row],[ANFANGSSALDO]]*(ZinsSatz/ZahlungenProJahr),""),IF(ZahlungsZeitplan[[#This Row],['#]]&lt;&gt;"",ZahlungsZeitplan[[#This Row],[ANFANGSSALDO]]*((ZinsSatz+$D$9)/ZahlungenProJahr),""))</f>
        <v>203.92222690370869</v>
      </c>
      <c r="J159" s="195">
        <f ca="1">IF(ZahlungsZeitplan[[#This Row],['#]]&lt;&gt;"",IF(ZahlungsZeitplan[[#This Row],[Zahlungen (Plan)]]+ZahlungsZeitplan[[#This Row],[SONDERZAHLUNG]]&lt;=ZahlungsZeitplan[[#This Row],[ANFANGSSALDO]],ZahlungsZeitplan[[#This Row],[ANFANGSSALDO]]-ZahlungsZeitplan[[#This Row],[KAPITAL]],0),"")</f>
        <v>60888.619546049616</v>
      </c>
      <c r="K159" s="195">
        <f ca="1">IF(ZahlungsZeitplan[[#This Row],['#]]&lt;&gt;"",SUM(INDEX(ZahlungsZeitplan[ZINSEN],1,1):ZahlungsZeitplan[[#This Row],[ZINSEN]]),"")</f>
        <v>21246.796797804149</v>
      </c>
    </row>
    <row r="160" spans="2:11">
      <c r="B160" s="193">
        <f ca="1">IF(DarlehenIstGut,IF(ROW()-ROW(ZahlungsZeitplan[[#Headers],['#]])&gt;PlanmäßigeAnzahlZahlungen,"",ROW()-ROW(ZahlungsZeitplan[[#Headers],['#]])),"")</f>
        <v>147</v>
      </c>
      <c r="C160" s="194">
        <f ca="1">IF(ZahlungsZeitplan[[#This Row],['#]]&lt;&gt;"",EOMONTH(DarlehensAnfangsDatum,ROW(ZahlungsZeitplan[[#This Row],['#]])-ROW(ZahlungsZeitplan[[#Headers],['#]])-2)+DAY(DarlehensAnfangsDatum),"")</f>
        <v>49769</v>
      </c>
      <c r="D160" s="195">
        <f ca="1">IF(ZahlungsZeitplan[[#This Row],['#]]&lt;&gt;"",IF(ROW()-ROW(ZahlungsZeitplan[[#Headers],[ANFANGSSALDO]])=1,DarlehensBetrag,INDEX(ZahlungsZeitplan[ENDSALDO],ROW()-ROW(ZahlungsZeitplan[[#Headers],[ANFANGSSALDO]])-1)),"")</f>
        <v>60888.619546049616</v>
      </c>
      <c r="E160" s="195">
        <f ca="1">IF(ZahlungsZeitplan[[#This Row],['#]]&lt;&gt;"",PlanmäßigeZahlung,"")</f>
        <v>645.29573460105871</v>
      </c>
      <c r="F16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0" s="195">
        <f ca="1">IF(ZahlungsZeitplan[[#This Row],['#]]&lt;&gt;"",ZahlungsZeitplan[[#This Row],[GESAMTZAHLUNG]]-ZahlungsZeitplan[[#This Row],[ZINSEN]],"")</f>
        <v>442.84107461044368</v>
      </c>
      <c r="I160" s="195">
        <f ca="1">IF(ZahlungsZeitplan[[#This Row],['#]]&lt;=($D$8*12),IF(ZahlungsZeitplan[[#This Row],['#]]&lt;&gt;"",ZahlungsZeitplan[[#This Row],[ANFANGSSALDO]]*(ZinsSatz/ZahlungenProJahr),""),IF(ZahlungsZeitplan[[#This Row],['#]]&lt;&gt;"",ZahlungsZeitplan[[#This Row],[ANFANGSSALDO]]*((ZinsSatz+$D$9)/ZahlungenProJahr),""))</f>
        <v>202.454659990615</v>
      </c>
      <c r="J160" s="195">
        <f ca="1">IF(ZahlungsZeitplan[[#This Row],['#]]&lt;&gt;"",IF(ZahlungsZeitplan[[#This Row],[Zahlungen (Plan)]]+ZahlungsZeitplan[[#This Row],[SONDERZAHLUNG]]&lt;=ZahlungsZeitplan[[#This Row],[ANFANGSSALDO]],ZahlungsZeitplan[[#This Row],[ANFANGSSALDO]]-ZahlungsZeitplan[[#This Row],[KAPITAL]],0),"")</f>
        <v>60445.778471439175</v>
      </c>
      <c r="K160" s="195">
        <f ca="1">IF(ZahlungsZeitplan[[#This Row],['#]]&lt;&gt;"",SUM(INDEX(ZahlungsZeitplan[ZINSEN],1,1):ZahlungsZeitplan[[#This Row],[ZINSEN]]),"")</f>
        <v>21449.251457794762</v>
      </c>
    </row>
    <row r="161" spans="2:11">
      <c r="B161" s="193">
        <f ca="1">IF(DarlehenIstGut,IF(ROW()-ROW(ZahlungsZeitplan[[#Headers],['#]])&gt;PlanmäßigeAnzahlZahlungen,"",ROW()-ROW(ZahlungsZeitplan[[#Headers],['#]])),"")</f>
        <v>148</v>
      </c>
      <c r="C161" s="194">
        <f ca="1">IF(ZahlungsZeitplan[[#This Row],['#]]&lt;&gt;"",EOMONTH(DarlehensAnfangsDatum,ROW(ZahlungsZeitplan[[#This Row],['#]])-ROW(ZahlungsZeitplan[[#Headers],['#]])-2)+DAY(DarlehensAnfangsDatum),"")</f>
        <v>49799</v>
      </c>
      <c r="D161" s="195">
        <f ca="1">IF(ZahlungsZeitplan[[#This Row],['#]]&lt;&gt;"",IF(ROW()-ROW(ZahlungsZeitplan[[#Headers],[ANFANGSSALDO]])=1,DarlehensBetrag,INDEX(ZahlungsZeitplan[ENDSALDO],ROW()-ROW(ZahlungsZeitplan[[#Headers],[ANFANGSSALDO]])-1)),"")</f>
        <v>60445.778471439175</v>
      </c>
      <c r="E161" s="195">
        <f ca="1">IF(ZahlungsZeitplan[[#This Row],['#]]&lt;&gt;"",PlanmäßigeZahlung,"")</f>
        <v>645.29573460105871</v>
      </c>
      <c r="F16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1" s="195">
        <f ca="1">IF(ZahlungsZeitplan[[#This Row],['#]]&lt;&gt;"",ZahlungsZeitplan[[#This Row],[GESAMTZAHLUNG]]-ZahlungsZeitplan[[#This Row],[ZINSEN]],"")</f>
        <v>444.31352118352345</v>
      </c>
      <c r="I161" s="195">
        <f ca="1">IF(ZahlungsZeitplan[[#This Row],['#]]&lt;=($D$8*12),IF(ZahlungsZeitplan[[#This Row],['#]]&lt;&gt;"",ZahlungsZeitplan[[#This Row],[ANFANGSSALDO]]*(ZinsSatz/ZahlungenProJahr),""),IF(ZahlungsZeitplan[[#This Row],['#]]&lt;&gt;"",ZahlungsZeitplan[[#This Row],[ANFANGSSALDO]]*((ZinsSatz+$D$9)/ZahlungenProJahr),""))</f>
        <v>200.98221341753526</v>
      </c>
      <c r="J161" s="195">
        <f ca="1">IF(ZahlungsZeitplan[[#This Row],['#]]&lt;&gt;"",IF(ZahlungsZeitplan[[#This Row],[Zahlungen (Plan)]]+ZahlungsZeitplan[[#This Row],[SONDERZAHLUNG]]&lt;=ZahlungsZeitplan[[#This Row],[ANFANGSSALDO]],ZahlungsZeitplan[[#This Row],[ANFANGSSALDO]]-ZahlungsZeitplan[[#This Row],[KAPITAL]],0),"")</f>
        <v>60001.464950255649</v>
      </c>
      <c r="K161" s="195">
        <f ca="1">IF(ZahlungsZeitplan[[#This Row],['#]]&lt;&gt;"",SUM(INDEX(ZahlungsZeitplan[ZINSEN],1,1):ZahlungsZeitplan[[#This Row],[ZINSEN]]),"")</f>
        <v>21650.233671212296</v>
      </c>
    </row>
    <row r="162" spans="2:11">
      <c r="B162" s="193">
        <f ca="1">IF(DarlehenIstGut,IF(ROW()-ROW(ZahlungsZeitplan[[#Headers],['#]])&gt;PlanmäßigeAnzahlZahlungen,"",ROW()-ROW(ZahlungsZeitplan[[#Headers],['#]])),"")</f>
        <v>149</v>
      </c>
      <c r="C162" s="194">
        <f ca="1">IF(ZahlungsZeitplan[[#This Row],['#]]&lt;&gt;"",EOMONTH(DarlehensAnfangsDatum,ROW(ZahlungsZeitplan[[#This Row],['#]])-ROW(ZahlungsZeitplan[[#Headers],['#]])-2)+DAY(DarlehensAnfangsDatum),"")</f>
        <v>49830</v>
      </c>
      <c r="D162" s="195">
        <f ca="1">IF(ZahlungsZeitplan[[#This Row],['#]]&lt;&gt;"",IF(ROW()-ROW(ZahlungsZeitplan[[#Headers],[ANFANGSSALDO]])=1,DarlehensBetrag,INDEX(ZahlungsZeitplan[ENDSALDO],ROW()-ROW(ZahlungsZeitplan[[#Headers],[ANFANGSSALDO]])-1)),"")</f>
        <v>60001.464950255649</v>
      </c>
      <c r="E162" s="195">
        <f ca="1">IF(ZahlungsZeitplan[[#This Row],['#]]&lt;&gt;"",PlanmäßigeZahlung,"")</f>
        <v>645.29573460105871</v>
      </c>
      <c r="F16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2" s="195">
        <f ca="1">IF(ZahlungsZeitplan[[#This Row],['#]]&lt;&gt;"",ZahlungsZeitplan[[#This Row],[GESAMTZAHLUNG]]-ZahlungsZeitplan[[#This Row],[ZINSEN]],"")</f>
        <v>445.79086364145866</v>
      </c>
      <c r="I162" s="195">
        <f ca="1">IF(ZahlungsZeitplan[[#This Row],['#]]&lt;=($D$8*12),IF(ZahlungsZeitplan[[#This Row],['#]]&lt;&gt;"",ZahlungsZeitplan[[#This Row],[ANFANGSSALDO]]*(ZinsSatz/ZahlungenProJahr),""),IF(ZahlungsZeitplan[[#This Row],['#]]&lt;&gt;"",ZahlungsZeitplan[[#This Row],[ANFANGSSALDO]]*((ZinsSatz+$D$9)/ZahlungenProJahr),""))</f>
        <v>199.50487095960005</v>
      </c>
      <c r="J162" s="195">
        <f ca="1">IF(ZahlungsZeitplan[[#This Row],['#]]&lt;&gt;"",IF(ZahlungsZeitplan[[#This Row],[Zahlungen (Plan)]]+ZahlungsZeitplan[[#This Row],[SONDERZAHLUNG]]&lt;=ZahlungsZeitplan[[#This Row],[ANFANGSSALDO]],ZahlungsZeitplan[[#This Row],[ANFANGSSALDO]]-ZahlungsZeitplan[[#This Row],[KAPITAL]],0),"")</f>
        <v>59555.674086614192</v>
      </c>
      <c r="K162" s="195">
        <f ca="1">IF(ZahlungsZeitplan[[#This Row],['#]]&lt;&gt;"",SUM(INDEX(ZahlungsZeitplan[ZINSEN],1,1):ZahlungsZeitplan[[#This Row],[ZINSEN]]),"")</f>
        <v>21849.738542171897</v>
      </c>
    </row>
    <row r="163" spans="2:11">
      <c r="B163" s="193">
        <f ca="1">IF(DarlehenIstGut,IF(ROW()-ROW(ZahlungsZeitplan[[#Headers],['#]])&gt;PlanmäßigeAnzahlZahlungen,"",ROW()-ROW(ZahlungsZeitplan[[#Headers],['#]])),"")</f>
        <v>150</v>
      </c>
      <c r="C163" s="194">
        <f ca="1">IF(ZahlungsZeitplan[[#This Row],['#]]&lt;&gt;"",EOMONTH(DarlehensAnfangsDatum,ROW(ZahlungsZeitplan[[#This Row],['#]])-ROW(ZahlungsZeitplan[[#Headers],['#]])-2)+DAY(DarlehensAnfangsDatum),"")</f>
        <v>49860</v>
      </c>
      <c r="D163" s="195">
        <f ca="1">IF(ZahlungsZeitplan[[#This Row],['#]]&lt;&gt;"",IF(ROW()-ROW(ZahlungsZeitplan[[#Headers],[ANFANGSSALDO]])=1,DarlehensBetrag,INDEX(ZahlungsZeitplan[ENDSALDO],ROW()-ROW(ZahlungsZeitplan[[#Headers],[ANFANGSSALDO]])-1)),"")</f>
        <v>59555.674086614192</v>
      </c>
      <c r="E163" s="195">
        <f ca="1">IF(ZahlungsZeitplan[[#This Row],['#]]&lt;&gt;"",PlanmäßigeZahlung,"")</f>
        <v>645.29573460105871</v>
      </c>
      <c r="F16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3" s="195">
        <f ca="1">IF(ZahlungsZeitplan[[#This Row],['#]]&lt;&gt;"",ZahlungsZeitplan[[#This Row],[GESAMTZAHLUNG]]-ZahlungsZeitplan[[#This Row],[ZINSEN]],"")</f>
        <v>447.27311826306652</v>
      </c>
      <c r="I163" s="195">
        <f ca="1">IF(ZahlungsZeitplan[[#This Row],['#]]&lt;=($D$8*12),IF(ZahlungsZeitplan[[#This Row],['#]]&lt;&gt;"",ZahlungsZeitplan[[#This Row],[ANFANGSSALDO]]*(ZinsSatz/ZahlungenProJahr),""),IF(ZahlungsZeitplan[[#This Row],['#]]&lt;&gt;"",ZahlungsZeitplan[[#This Row],[ANFANGSSALDO]]*((ZinsSatz+$D$9)/ZahlungenProJahr),""))</f>
        <v>198.02261633799219</v>
      </c>
      <c r="J163" s="195">
        <f ca="1">IF(ZahlungsZeitplan[[#This Row],['#]]&lt;&gt;"",IF(ZahlungsZeitplan[[#This Row],[Zahlungen (Plan)]]+ZahlungsZeitplan[[#This Row],[SONDERZAHLUNG]]&lt;=ZahlungsZeitplan[[#This Row],[ANFANGSSALDO]],ZahlungsZeitplan[[#This Row],[ANFANGSSALDO]]-ZahlungsZeitplan[[#This Row],[KAPITAL]],0),"")</f>
        <v>59108.400968351125</v>
      </c>
      <c r="K163" s="195">
        <f ca="1">IF(ZahlungsZeitplan[[#This Row],['#]]&lt;&gt;"",SUM(INDEX(ZahlungsZeitplan[ZINSEN],1,1):ZahlungsZeitplan[[#This Row],[ZINSEN]]),"")</f>
        <v>22047.761158509889</v>
      </c>
    </row>
    <row r="164" spans="2:11">
      <c r="B164" s="193">
        <f ca="1">IF(DarlehenIstGut,IF(ROW()-ROW(ZahlungsZeitplan[[#Headers],['#]])&gt;PlanmäßigeAnzahlZahlungen,"",ROW()-ROW(ZahlungsZeitplan[[#Headers],['#]])),"")</f>
        <v>151</v>
      </c>
      <c r="C164" s="194">
        <f ca="1">IF(ZahlungsZeitplan[[#This Row],['#]]&lt;&gt;"",EOMONTH(DarlehensAnfangsDatum,ROW(ZahlungsZeitplan[[#This Row],['#]])-ROW(ZahlungsZeitplan[[#Headers],['#]])-2)+DAY(DarlehensAnfangsDatum),"")</f>
        <v>49891</v>
      </c>
      <c r="D164" s="195">
        <f ca="1">IF(ZahlungsZeitplan[[#This Row],['#]]&lt;&gt;"",IF(ROW()-ROW(ZahlungsZeitplan[[#Headers],[ANFANGSSALDO]])=1,DarlehensBetrag,INDEX(ZahlungsZeitplan[ENDSALDO],ROW()-ROW(ZahlungsZeitplan[[#Headers],[ANFANGSSALDO]])-1)),"")</f>
        <v>59108.400968351125</v>
      </c>
      <c r="E164" s="195">
        <f ca="1">IF(ZahlungsZeitplan[[#This Row],['#]]&lt;&gt;"",PlanmäßigeZahlung,"")</f>
        <v>645.29573460105871</v>
      </c>
      <c r="F16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4" s="195">
        <f ca="1">IF(ZahlungsZeitplan[[#This Row],['#]]&lt;&gt;"",ZahlungsZeitplan[[#This Row],[GESAMTZAHLUNG]]-ZahlungsZeitplan[[#This Row],[ZINSEN]],"")</f>
        <v>448.76030138129124</v>
      </c>
      <c r="I164" s="195">
        <f ca="1">IF(ZahlungsZeitplan[[#This Row],['#]]&lt;=($D$8*12),IF(ZahlungsZeitplan[[#This Row],['#]]&lt;&gt;"",ZahlungsZeitplan[[#This Row],[ANFANGSSALDO]]*(ZinsSatz/ZahlungenProJahr),""),IF(ZahlungsZeitplan[[#This Row],['#]]&lt;&gt;"",ZahlungsZeitplan[[#This Row],[ANFANGSSALDO]]*((ZinsSatz+$D$9)/ZahlungenProJahr),""))</f>
        <v>196.5354332197675</v>
      </c>
      <c r="J164" s="195">
        <f ca="1">IF(ZahlungsZeitplan[[#This Row],['#]]&lt;&gt;"",IF(ZahlungsZeitplan[[#This Row],[Zahlungen (Plan)]]+ZahlungsZeitplan[[#This Row],[SONDERZAHLUNG]]&lt;=ZahlungsZeitplan[[#This Row],[ANFANGSSALDO]],ZahlungsZeitplan[[#This Row],[ANFANGSSALDO]]-ZahlungsZeitplan[[#This Row],[KAPITAL]],0),"")</f>
        <v>58659.640666969834</v>
      </c>
      <c r="K164" s="195">
        <f ca="1">IF(ZahlungsZeitplan[[#This Row],['#]]&lt;&gt;"",SUM(INDEX(ZahlungsZeitplan[ZINSEN],1,1):ZahlungsZeitplan[[#This Row],[ZINSEN]]),"")</f>
        <v>22244.296591729657</v>
      </c>
    </row>
    <row r="165" spans="2:11">
      <c r="B165" s="193">
        <f ca="1">IF(DarlehenIstGut,IF(ROW()-ROW(ZahlungsZeitplan[[#Headers],['#]])&gt;PlanmäßigeAnzahlZahlungen,"",ROW()-ROW(ZahlungsZeitplan[[#Headers],['#]])),"")</f>
        <v>152</v>
      </c>
      <c r="C165" s="194">
        <f ca="1">IF(ZahlungsZeitplan[[#This Row],['#]]&lt;&gt;"",EOMONTH(DarlehensAnfangsDatum,ROW(ZahlungsZeitplan[[#This Row],['#]])-ROW(ZahlungsZeitplan[[#Headers],['#]])-2)+DAY(DarlehensAnfangsDatum),"")</f>
        <v>49922</v>
      </c>
      <c r="D165" s="195">
        <f ca="1">IF(ZahlungsZeitplan[[#This Row],['#]]&lt;&gt;"",IF(ROW()-ROW(ZahlungsZeitplan[[#Headers],[ANFANGSSALDO]])=1,DarlehensBetrag,INDEX(ZahlungsZeitplan[ENDSALDO],ROW()-ROW(ZahlungsZeitplan[[#Headers],[ANFANGSSALDO]])-1)),"")</f>
        <v>58659.640666969834</v>
      </c>
      <c r="E165" s="195">
        <f ca="1">IF(ZahlungsZeitplan[[#This Row],['#]]&lt;&gt;"",PlanmäßigeZahlung,"")</f>
        <v>645.29573460105871</v>
      </c>
      <c r="F16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5" s="195">
        <f ca="1">IF(ZahlungsZeitplan[[#This Row],['#]]&lt;&gt;"",ZahlungsZeitplan[[#This Row],[GESAMTZAHLUNG]]-ZahlungsZeitplan[[#This Row],[ZINSEN]],"")</f>
        <v>450.25242938338397</v>
      </c>
      <c r="I165" s="195">
        <f ca="1">IF(ZahlungsZeitplan[[#This Row],['#]]&lt;=($D$8*12),IF(ZahlungsZeitplan[[#This Row],['#]]&lt;&gt;"",ZahlungsZeitplan[[#This Row],[ANFANGSSALDO]]*(ZinsSatz/ZahlungenProJahr),""),IF(ZahlungsZeitplan[[#This Row],['#]]&lt;&gt;"",ZahlungsZeitplan[[#This Row],[ANFANGSSALDO]]*((ZinsSatz+$D$9)/ZahlungenProJahr),""))</f>
        <v>195.04330521767471</v>
      </c>
      <c r="J165" s="195">
        <f ca="1">IF(ZahlungsZeitplan[[#This Row],['#]]&lt;&gt;"",IF(ZahlungsZeitplan[[#This Row],[Zahlungen (Plan)]]+ZahlungsZeitplan[[#This Row],[SONDERZAHLUNG]]&lt;=ZahlungsZeitplan[[#This Row],[ANFANGSSALDO]],ZahlungsZeitplan[[#This Row],[ANFANGSSALDO]]-ZahlungsZeitplan[[#This Row],[KAPITAL]],0),"")</f>
        <v>58209.388237586449</v>
      </c>
      <c r="K165" s="195">
        <f ca="1">IF(ZahlungsZeitplan[[#This Row],['#]]&lt;&gt;"",SUM(INDEX(ZahlungsZeitplan[ZINSEN],1,1):ZahlungsZeitplan[[#This Row],[ZINSEN]]),"")</f>
        <v>22439.339896947331</v>
      </c>
    </row>
    <row r="166" spans="2:11">
      <c r="B166" s="193">
        <f ca="1">IF(DarlehenIstGut,IF(ROW()-ROW(ZahlungsZeitplan[[#Headers],['#]])&gt;PlanmäßigeAnzahlZahlungen,"",ROW()-ROW(ZahlungsZeitplan[[#Headers],['#]])),"")</f>
        <v>153</v>
      </c>
      <c r="C166" s="194">
        <f ca="1">IF(ZahlungsZeitplan[[#This Row],['#]]&lt;&gt;"",EOMONTH(DarlehensAnfangsDatum,ROW(ZahlungsZeitplan[[#This Row],['#]])-ROW(ZahlungsZeitplan[[#Headers],['#]])-2)+DAY(DarlehensAnfangsDatum),"")</f>
        <v>49952</v>
      </c>
      <c r="D166" s="195">
        <f ca="1">IF(ZahlungsZeitplan[[#This Row],['#]]&lt;&gt;"",IF(ROW()-ROW(ZahlungsZeitplan[[#Headers],[ANFANGSSALDO]])=1,DarlehensBetrag,INDEX(ZahlungsZeitplan[ENDSALDO],ROW()-ROW(ZahlungsZeitplan[[#Headers],[ANFANGSSALDO]])-1)),"")</f>
        <v>58209.388237586449</v>
      </c>
      <c r="E166" s="195">
        <f ca="1">IF(ZahlungsZeitplan[[#This Row],['#]]&lt;&gt;"",PlanmäßigeZahlung,"")</f>
        <v>645.29573460105871</v>
      </c>
      <c r="F16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6" s="195">
        <f ca="1">IF(ZahlungsZeitplan[[#This Row],['#]]&lt;&gt;"",ZahlungsZeitplan[[#This Row],[GESAMTZAHLUNG]]-ZahlungsZeitplan[[#This Row],[ZINSEN]],"")</f>
        <v>451.74951871108374</v>
      </c>
      <c r="I166" s="195">
        <f ca="1">IF(ZahlungsZeitplan[[#This Row],['#]]&lt;=($D$8*12),IF(ZahlungsZeitplan[[#This Row],['#]]&lt;&gt;"",ZahlungsZeitplan[[#This Row],[ANFANGSSALDO]]*(ZinsSatz/ZahlungenProJahr),""),IF(ZahlungsZeitplan[[#This Row],['#]]&lt;&gt;"",ZahlungsZeitplan[[#This Row],[ANFANGSSALDO]]*((ZinsSatz+$D$9)/ZahlungenProJahr),""))</f>
        <v>193.54621588997495</v>
      </c>
      <c r="J166" s="195">
        <f ca="1">IF(ZahlungsZeitplan[[#This Row],['#]]&lt;&gt;"",IF(ZahlungsZeitplan[[#This Row],[Zahlungen (Plan)]]+ZahlungsZeitplan[[#This Row],[SONDERZAHLUNG]]&lt;=ZahlungsZeitplan[[#This Row],[ANFANGSSALDO]],ZahlungsZeitplan[[#This Row],[ANFANGSSALDO]]-ZahlungsZeitplan[[#This Row],[KAPITAL]],0),"")</f>
        <v>57757.638718875365</v>
      </c>
      <c r="K166" s="195">
        <f ca="1">IF(ZahlungsZeitplan[[#This Row],['#]]&lt;&gt;"",SUM(INDEX(ZahlungsZeitplan[ZINSEN],1,1):ZahlungsZeitplan[[#This Row],[ZINSEN]]),"")</f>
        <v>22632.886112837306</v>
      </c>
    </row>
    <row r="167" spans="2:11">
      <c r="B167" s="193">
        <f ca="1">IF(DarlehenIstGut,IF(ROW()-ROW(ZahlungsZeitplan[[#Headers],['#]])&gt;PlanmäßigeAnzahlZahlungen,"",ROW()-ROW(ZahlungsZeitplan[[#Headers],['#]])),"")</f>
        <v>154</v>
      </c>
      <c r="C167" s="194">
        <f ca="1">IF(ZahlungsZeitplan[[#This Row],['#]]&lt;&gt;"",EOMONTH(DarlehensAnfangsDatum,ROW(ZahlungsZeitplan[[#This Row],['#]])-ROW(ZahlungsZeitplan[[#Headers],['#]])-2)+DAY(DarlehensAnfangsDatum),"")</f>
        <v>49983</v>
      </c>
      <c r="D167" s="195">
        <f ca="1">IF(ZahlungsZeitplan[[#This Row],['#]]&lt;&gt;"",IF(ROW()-ROW(ZahlungsZeitplan[[#Headers],[ANFANGSSALDO]])=1,DarlehensBetrag,INDEX(ZahlungsZeitplan[ENDSALDO],ROW()-ROW(ZahlungsZeitplan[[#Headers],[ANFANGSSALDO]])-1)),"")</f>
        <v>57757.638718875365</v>
      </c>
      <c r="E167" s="195">
        <f ca="1">IF(ZahlungsZeitplan[[#This Row],['#]]&lt;&gt;"",PlanmäßigeZahlung,"")</f>
        <v>645.29573460105871</v>
      </c>
      <c r="F16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7" s="195">
        <f ca="1">IF(ZahlungsZeitplan[[#This Row],['#]]&lt;&gt;"",ZahlungsZeitplan[[#This Row],[GESAMTZAHLUNG]]-ZahlungsZeitplan[[#This Row],[ZINSEN]],"")</f>
        <v>453.25158586079812</v>
      </c>
      <c r="I167" s="195">
        <f ca="1">IF(ZahlungsZeitplan[[#This Row],['#]]&lt;=($D$8*12),IF(ZahlungsZeitplan[[#This Row],['#]]&lt;&gt;"",ZahlungsZeitplan[[#This Row],[ANFANGSSALDO]]*(ZinsSatz/ZahlungenProJahr),""),IF(ZahlungsZeitplan[[#This Row],['#]]&lt;&gt;"",ZahlungsZeitplan[[#This Row],[ANFANGSSALDO]]*((ZinsSatz+$D$9)/ZahlungenProJahr),""))</f>
        <v>192.0441487402606</v>
      </c>
      <c r="J167" s="195">
        <f ca="1">IF(ZahlungsZeitplan[[#This Row],['#]]&lt;&gt;"",IF(ZahlungsZeitplan[[#This Row],[Zahlungen (Plan)]]+ZahlungsZeitplan[[#This Row],[SONDERZAHLUNG]]&lt;=ZahlungsZeitplan[[#This Row],[ANFANGSSALDO]],ZahlungsZeitplan[[#This Row],[ANFANGSSALDO]]-ZahlungsZeitplan[[#This Row],[KAPITAL]],0),"")</f>
        <v>57304.38713301457</v>
      </c>
      <c r="K167" s="195">
        <f ca="1">IF(ZahlungsZeitplan[[#This Row],['#]]&lt;&gt;"",SUM(INDEX(ZahlungsZeitplan[ZINSEN],1,1):ZahlungsZeitplan[[#This Row],[ZINSEN]]),"")</f>
        <v>22824.930261577567</v>
      </c>
    </row>
    <row r="168" spans="2:11">
      <c r="B168" s="193">
        <f ca="1">IF(DarlehenIstGut,IF(ROW()-ROW(ZahlungsZeitplan[[#Headers],['#]])&gt;PlanmäßigeAnzahlZahlungen,"",ROW()-ROW(ZahlungsZeitplan[[#Headers],['#]])),"")</f>
        <v>155</v>
      </c>
      <c r="C168" s="194">
        <f ca="1">IF(ZahlungsZeitplan[[#This Row],['#]]&lt;&gt;"",EOMONTH(DarlehensAnfangsDatum,ROW(ZahlungsZeitplan[[#This Row],['#]])-ROW(ZahlungsZeitplan[[#Headers],['#]])-2)+DAY(DarlehensAnfangsDatum),"")</f>
        <v>50013</v>
      </c>
      <c r="D168" s="195">
        <f ca="1">IF(ZahlungsZeitplan[[#This Row],['#]]&lt;&gt;"",IF(ROW()-ROW(ZahlungsZeitplan[[#Headers],[ANFANGSSALDO]])=1,DarlehensBetrag,INDEX(ZahlungsZeitplan[ENDSALDO],ROW()-ROW(ZahlungsZeitplan[[#Headers],[ANFANGSSALDO]])-1)),"")</f>
        <v>57304.38713301457</v>
      </c>
      <c r="E168" s="195">
        <f ca="1">IF(ZahlungsZeitplan[[#This Row],['#]]&lt;&gt;"",PlanmäßigeZahlung,"")</f>
        <v>645.29573460105871</v>
      </c>
      <c r="F16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8" s="195">
        <f ca="1">IF(ZahlungsZeitplan[[#This Row],['#]]&lt;&gt;"",ZahlungsZeitplan[[#This Row],[GESAMTZAHLUNG]]-ZahlungsZeitplan[[#This Row],[ZINSEN]],"")</f>
        <v>454.75864738378527</v>
      </c>
      <c r="I168" s="195">
        <f ca="1">IF(ZahlungsZeitplan[[#This Row],['#]]&lt;=($D$8*12),IF(ZahlungsZeitplan[[#This Row],['#]]&lt;&gt;"",ZahlungsZeitplan[[#This Row],[ANFANGSSALDO]]*(ZinsSatz/ZahlungenProJahr),""),IF(ZahlungsZeitplan[[#This Row],['#]]&lt;&gt;"",ZahlungsZeitplan[[#This Row],[ANFANGSSALDO]]*((ZinsSatz+$D$9)/ZahlungenProJahr),""))</f>
        <v>190.53708721727347</v>
      </c>
      <c r="J168" s="195">
        <f ca="1">IF(ZahlungsZeitplan[[#This Row],['#]]&lt;&gt;"",IF(ZahlungsZeitplan[[#This Row],[Zahlungen (Plan)]]+ZahlungsZeitplan[[#This Row],[SONDERZAHLUNG]]&lt;=ZahlungsZeitplan[[#This Row],[ANFANGSSALDO]],ZahlungsZeitplan[[#This Row],[ANFANGSSALDO]]-ZahlungsZeitplan[[#This Row],[KAPITAL]],0),"")</f>
        <v>56849.628485630783</v>
      </c>
      <c r="K168" s="195">
        <f ca="1">IF(ZahlungsZeitplan[[#This Row],['#]]&lt;&gt;"",SUM(INDEX(ZahlungsZeitplan[ZINSEN],1,1):ZahlungsZeitplan[[#This Row],[ZINSEN]]),"")</f>
        <v>23015.467348794842</v>
      </c>
    </row>
    <row r="169" spans="2:11">
      <c r="B169" s="193">
        <f ca="1">IF(DarlehenIstGut,IF(ROW()-ROW(ZahlungsZeitplan[[#Headers],['#]])&gt;PlanmäßigeAnzahlZahlungen,"",ROW()-ROW(ZahlungsZeitplan[[#Headers],['#]])),"")</f>
        <v>156</v>
      </c>
      <c r="C169" s="194">
        <f ca="1">IF(ZahlungsZeitplan[[#This Row],['#]]&lt;&gt;"",EOMONTH(DarlehensAnfangsDatum,ROW(ZahlungsZeitplan[[#This Row],['#]])-ROW(ZahlungsZeitplan[[#Headers],['#]])-2)+DAY(DarlehensAnfangsDatum),"")</f>
        <v>50044</v>
      </c>
      <c r="D169" s="195">
        <f ca="1">IF(ZahlungsZeitplan[[#This Row],['#]]&lt;&gt;"",IF(ROW()-ROW(ZahlungsZeitplan[[#Headers],[ANFANGSSALDO]])=1,DarlehensBetrag,INDEX(ZahlungsZeitplan[ENDSALDO],ROW()-ROW(ZahlungsZeitplan[[#Headers],[ANFANGSSALDO]])-1)),"")</f>
        <v>56849.628485630783</v>
      </c>
      <c r="E169" s="195">
        <f ca="1">IF(ZahlungsZeitplan[[#This Row],['#]]&lt;&gt;"",PlanmäßigeZahlung,"")</f>
        <v>645.29573460105871</v>
      </c>
      <c r="F16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6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69" s="195">
        <f ca="1">IF(ZahlungsZeitplan[[#This Row],['#]]&lt;&gt;"",ZahlungsZeitplan[[#This Row],[GESAMTZAHLUNG]]-ZahlungsZeitplan[[#This Row],[ZINSEN]],"")</f>
        <v>456.27071988633634</v>
      </c>
      <c r="I169" s="195">
        <f ca="1">IF(ZahlungsZeitplan[[#This Row],['#]]&lt;=($D$8*12),IF(ZahlungsZeitplan[[#This Row],['#]]&lt;&gt;"",ZahlungsZeitplan[[#This Row],[ANFANGSSALDO]]*(ZinsSatz/ZahlungenProJahr),""),IF(ZahlungsZeitplan[[#This Row],['#]]&lt;&gt;"",ZahlungsZeitplan[[#This Row],[ANFANGSSALDO]]*((ZinsSatz+$D$9)/ZahlungenProJahr),""))</f>
        <v>189.02501471472237</v>
      </c>
      <c r="J169" s="195">
        <f ca="1">IF(ZahlungsZeitplan[[#This Row],['#]]&lt;&gt;"",IF(ZahlungsZeitplan[[#This Row],[Zahlungen (Plan)]]+ZahlungsZeitplan[[#This Row],[SONDERZAHLUNG]]&lt;=ZahlungsZeitplan[[#This Row],[ANFANGSSALDO]],ZahlungsZeitplan[[#This Row],[ANFANGSSALDO]]-ZahlungsZeitplan[[#This Row],[KAPITAL]],0),"")</f>
        <v>56393.357765744448</v>
      </c>
      <c r="K169" s="195">
        <f ca="1">IF(ZahlungsZeitplan[[#This Row],['#]]&lt;&gt;"",SUM(INDEX(ZahlungsZeitplan[ZINSEN],1,1):ZahlungsZeitplan[[#This Row],[ZINSEN]]),"")</f>
        <v>23204.492363509566</v>
      </c>
    </row>
    <row r="170" spans="2:11">
      <c r="B170" s="193">
        <f ca="1">IF(DarlehenIstGut,IF(ROW()-ROW(ZahlungsZeitplan[[#Headers],['#]])&gt;PlanmäßigeAnzahlZahlungen,"",ROW()-ROW(ZahlungsZeitplan[[#Headers],['#]])),"")</f>
        <v>157</v>
      </c>
      <c r="C170" s="194">
        <f ca="1">IF(ZahlungsZeitplan[[#This Row],['#]]&lt;&gt;"",EOMONTH(DarlehensAnfangsDatum,ROW(ZahlungsZeitplan[[#This Row],['#]])-ROW(ZahlungsZeitplan[[#Headers],['#]])-2)+DAY(DarlehensAnfangsDatum),"")</f>
        <v>50075</v>
      </c>
      <c r="D170" s="195">
        <f ca="1">IF(ZahlungsZeitplan[[#This Row],['#]]&lt;&gt;"",IF(ROW()-ROW(ZahlungsZeitplan[[#Headers],[ANFANGSSALDO]])=1,DarlehensBetrag,INDEX(ZahlungsZeitplan[ENDSALDO],ROW()-ROW(ZahlungsZeitplan[[#Headers],[ANFANGSSALDO]])-1)),"")</f>
        <v>56393.357765744448</v>
      </c>
      <c r="E170" s="195">
        <f ca="1">IF(ZahlungsZeitplan[[#This Row],['#]]&lt;&gt;"",PlanmäßigeZahlung,"")</f>
        <v>645.29573460105871</v>
      </c>
      <c r="F17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0" s="195">
        <f ca="1">IF(ZahlungsZeitplan[[#This Row],['#]]&lt;&gt;"",ZahlungsZeitplan[[#This Row],[GESAMTZAHLUNG]]-ZahlungsZeitplan[[#This Row],[ZINSEN]],"")</f>
        <v>457.78782002995843</v>
      </c>
      <c r="I170" s="195">
        <f ca="1">IF(ZahlungsZeitplan[[#This Row],['#]]&lt;=($D$8*12),IF(ZahlungsZeitplan[[#This Row],['#]]&lt;&gt;"",ZahlungsZeitplan[[#This Row],[ANFANGSSALDO]]*(ZinsSatz/ZahlungenProJahr),""),IF(ZahlungsZeitplan[[#This Row],['#]]&lt;&gt;"",ZahlungsZeitplan[[#This Row],[ANFANGSSALDO]]*((ZinsSatz+$D$9)/ZahlungenProJahr),""))</f>
        <v>187.50791457110032</v>
      </c>
      <c r="J170" s="195">
        <f ca="1">IF(ZahlungsZeitplan[[#This Row],['#]]&lt;&gt;"",IF(ZahlungsZeitplan[[#This Row],[Zahlungen (Plan)]]+ZahlungsZeitplan[[#This Row],[SONDERZAHLUNG]]&lt;=ZahlungsZeitplan[[#This Row],[ANFANGSSALDO]],ZahlungsZeitplan[[#This Row],[ANFANGSSALDO]]-ZahlungsZeitplan[[#This Row],[KAPITAL]],0),"")</f>
        <v>55935.569945714487</v>
      </c>
      <c r="K170" s="195">
        <f ca="1">IF(ZahlungsZeitplan[[#This Row],['#]]&lt;&gt;"",SUM(INDEX(ZahlungsZeitplan[ZINSEN],1,1):ZahlungsZeitplan[[#This Row],[ZINSEN]]),"")</f>
        <v>23392.000278080664</v>
      </c>
    </row>
    <row r="171" spans="2:11">
      <c r="B171" s="193">
        <f ca="1">IF(DarlehenIstGut,IF(ROW()-ROW(ZahlungsZeitplan[[#Headers],['#]])&gt;PlanmäßigeAnzahlZahlungen,"",ROW()-ROW(ZahlungsZeitplan[[#Headers],['#]])),"")</f>
        <v>158</v>
      </c>
      <c r="C171" s="194">
        <f ca="1">IF(ZahlungsZeitplan[[#This Row],['#]]&lt;&gt;"",EOMONTH(DarlehensAnfangsDatum,ROW(ZahlungsZeitplan[[#This Row],['#]])-ROW(ZahlungsZeitplan[[#Headers],['#]])-2)+DAY(DarlehensAnfangsDatum),"")</f>
        <v>50103</v>
      </c>
      <c r="D171" s="195">
        <f ca="1">IF(ZahlungsZeitplan[[#This Row],['#]]&lt;&gt;"",IF(ROW()-ROW(ZahlungsZeitplan[[#Headers],[ANFANGSSALDO]])=1,DarlehensBetrag,INDEX(ZahlungsZeitplan[ENDSALDO],ROW()-ROW(ZahlungsZeitplan[[#Headers],[ANFANGSSALDO]])-1)),"")</f>
        <v>55935.569945714487</v>
      </c>
      <c r="E171" s="195">
        <f ca="1">IF(ZahlungsZeitplan[[#This Row],['#]]&lt;&gt;"",PlanmäßigeZahlung,"")</f>
        <v>645.29573460105871</v>
      </c>
      <c r="F17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1" s="195">
        <f ca="1">IF(ZahlungsZeitplan[[#This Row],['#]]&lt;&gt;"",ZahlungsZeitplan[[#This Row],[GESAMTZAHLUNG]]-ZahlungsZeitplan[[#This Row],[ZINSEN]],"")</f>
        <v>459.30996453155802</v>
      </c>
      <c r="I171" s="195">
        <f ca="1">IF(ZahlungsZeitplan[[#This Row],['#]]&lt;=($D$8*12),IF(ZahlungsZeitplan[[#This Row],['#]]&lt;&gt;"",ZahlungsZeitplan[[#This Row],[ANFANGSSALDO]]*(ZinsSatz/ZahlungenProJahr),""),IF(ZahlungsZeitplan[[#This Row],['#]]&lt;&gt;"",ZahlungsZeitplan[[#This Row],[ANFANGSSALDO]]*((ZinsSatz+$D$9)/ZahlungenProJahr),""))</f>
        <v>185.98577006950069</v>
      </c>
      <c r="J171" s="195">
        <f ca="1">IF(ZahlungsZeitplan[[#This Row],['#]]&lt;&gt;"",IF(ZahlungsZeitplan[[#This Row],[Zahlungen (Plan)]]+ZahlungsZeitplan[[#This Row],[SONDERZAHLUNG]]&lt;=ZahlungsZeitplan[[#This Row],[ANFANGSSALDO]],ZahlungsZeitplan[[#This Row],[ANFANGSSALDO]]-ZahlungsZeitplan[[#This Row],[KAPITAL]],0),"")</f>
        <v>55476.259981182928</v>
      </c>
      <c r="K171" s="195">
        <f ca="1">IF(ZahlungsZeitplan[[#This Row],['#]]&lt;&gt;"",SUM(INDEX(ZahlungsZeitplan[ZINSEN],1,1):ZahlungsZeitplan[[#This Row],[ZINSEN]]),"")</f>
        <v>23577.986048150164</v>
      </c>
    </row>
    <row r="172" spans="2:11">
      <c r="B172" s="193">
        <f ca="1">IF(DarlehenIstGut,IF(ROW()-ROW(ZahlungsZeitplan[[#Headers],['#]])&gt;PlanmäßigeAnzahlZahlungen,"",ROW()-ROW(ZahlungsZeitplan[[#Headers],['#]])),"")</f>
        <v>159</v>
      </c>
      <c r="C172" s="194">
        <f ca="1">IF(ZahlungsZeitplan[[#This Row],['#]]&lt;&gt;"",EOMONTH(DarlehensAnfangsDatum,ROW(ZahlungsZeitplan[[#This Row],['#]])-ROW(ZahlungsZeitplan[[#Headers],['#]])-2)+DAY(DarlehensAnfangsDatum),"")</f>
        <v>50134</v>
      </c>
      <c r="D172" s="195">
        <f ca="1">IF(ZahlungsZeitplan[[#This Row],['#]]&lt;&gt;"",IF(ROW()-ROW(ZahlungsZeitplan[[#Headers],[ANFANGSSALDO]])=1,DarlehensBetrag,INDEX(ZahlungsZeitplan[ENDSALDO],ROW()-ROW(ZahlungsZeitplan[[#Headers],[ANFANGSSALDO]])-1)),"")</f>
        <v>55476.259981182928</v>
      </c>
      <c r="E172" s="195">
        <f ca="1">IF(ZahlungsZeitplan[[#This Row],['#]]&lt;&gt;"",PlanmäßigeZahlung,"")</f>
        <v>645.29573460105871</v>
      </c>
      <c r="F17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2" s="195">
        <f ca="1">IF(ZahlungsZeitplan[[#This Row],['#]]&lt;&gt;"",ZahlungsZeitplan[[#This Row],[GESAMTZAHLUNG]]-ZahlungsZeitplan[[#This Row],[ZINSEN]],"")</f>
        <v>460.8371701636255</v>
      </c>
      <c r="I172" s="195">
        <f ca="1">IF(ZahlungsZeitplan[[#This Row],['#]]&lt;=($D$8*12),IF(ZahlungsZeitplan[[#This Row],['#]]&lt;&gt;"",ZahlungsZeitplan[[#This Row],[ANFANGSSALDO]]*(ZinsSatz/ZahlungenProJahr),""),IF(ZahlungsZeitplan[[#This Row],['#]]&lt;&gt;"",ZahlungsZeitplan[[#This Row],[ANFANGSSALDO]]*((ZinsSatz+$D$9)/ZahlungenProJahr),""))</f>
        <v>184.45856443743324</v>
      </c>
      <c r="J172" s="195">
        <f ca="1">IF(ZahlungsZeitplan[[#This Row],['#]]&lt;&gt;"",IF(ZahlungsZeitplan[[#This Row],[Zahlungen (Plan)]]+ZahlungsZeitplan[[#This Row],[SONDERZAHLUNG]]&lt;=ZahlungsZeitplan[[#This Row],[ANFANGSSALDO]],ZahlungsZeitplan[[#This Row],[ANFANGSSALDO]]-ZahlungsZeitplan[[#This Row],[KAPITAL]],0),"")</f>
        <v>55015.4228110193</v>
      </c>
      <c r="K172" s="195">
        <f ca="1">IF(ZahlungsZeitplan[[#This Row],['#]]&lt;&gt;"",SUM(INDEX(ZahlungsZeitplan[ZINSEN],1,1):ZahlungsZeitplan[[#This Row],[ZINSEN]]),"")</f>
        <v>23762.444612587598</v>
      </c>
    </row>
    <row r="173" spans="2:11">
      <c r="B173" s="193">
        <f ca="1">IF(DarlehenIstGut,IF(ROW()-ROW(ZahlungsZeitplan[[#Headers],['#]])&gt;PlanmäßigeAnzahlZahlungen,"",ROW()-ROW(ZahlungsZeitplan[[#Headers],['#]])),"")</f>
        <v>160</v>
      </c>
      <c r="C173" s="194">
        <f ca="1">IF(ZahlungsZeitplan[[#This Row],['#]]&lt;&gt;"",EOMONTH(DarlehensAnfangsDatum,ROW(ZahlungsZeitplan[[#This Row],['#]])-ROW(ZahlungsZeitplan[[#Headers],['#]])-2)+DAY(DarlehensAnfangsDatum),"")</f>
        <v>50164</v>
      </c>
      <c r="D173" s="195">
        <f ca="1">IF(ZahlungsZeitplan[[#This Row],['#]]&lt;&gt;"",IF(ROW()-ROW(ZahlungsZeitplan[[#Headers],[ANFANGSSALDO]])=1,DarlehensBetrag,INDEX(ZahlungsZeitplan[ENDSALDO],ROW()-ROW(ZahlungsZeitplan[[#Headers],[ANFANGSSALDO]])-1)),"")</f>
        <v>55015.4228110193</v>
      </c>
      <c r="E173" s="195">
        <f ca="1">IF(ZahlungsZeitplan[[#This Row],['#]]&lt;&gt;"",PlanmäßigeZahlung,"")</f>
        <v>645.29573460105871</v>
      </c>
      <c r="F17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3" s="195">
        <f ca="1">IF(ZahlungsZeitplan[[#This Row],['#]]&lt;&gt;"",ZahlungsZeitplan[[#This Row],[GESAMTZAHLUNG]]-ZahlungsZeitplan[[#This Row],[ZINSEN]],"")</f>
        <v>462.36945375441951</v>
      </c>
      <c r="I173" s="195">
        <f ca="1">IF(ZahlungsZeitplan[[#This Row],['#]]&lt;=($D$8*12),IF(ZahlungsZeitplan[[#This Row],['#]]&lt;&gt;"",ZahlungsZeitplan[[#This Row],[ANFANGSSALDO]]*(ZinsSatz/ZahlungenProJahr),""),IF(ZahlungsZeitplan[[#This Row],['#]]&lt;&gt;"",ZahlungsZeitplan[[#This Row],[ANFANGSSALDO]]*((ZinsSatz+$D$9)/ZahlungenProJahr),""))</f>
        <v>182.92628084663917</v>
      </c>
      <c r="J173" s="195">
        <f ca="1">IF(ZahlungsZeitplan[[#This Row],['#]]&lt;&gt;"",IF(ZahlungsZeitplan[[#This Row],[Zahlungen (Plan)]]+ZahlungsZeitplan[[#This Row],[SONDERZAHLUNG]]&lt;=ZahlungsZeitplan[[#This Row],[ANFANGSSALDO]],ZahlungsZeitplan[[#This Row],[ANFANGSSALDO]]-ZahlungsZeitplan[[#This Row],[KAPITAL]],0),"")</f>
        <v>54553.053357264878</v>
      </c>
      <c r="K173" s="195">
        <f ca="1">IF(ZahlungsZeitplan[[#This Row],['#]]&lt;&gt;"",SUM(INDEX(ZahlungsZeitplan[ZINSEN],1,1):ZahlungsZeitplan[[#This Row],[ZINSEN]]),"")</f>
        <v>23945.370893434236</v>
      </c>
    </row>
    <row r="174" spans="2:11">
      <c r="B174" s="193">
        <f ca="1">IF(DarlehenIstGut,IF(ROW()-ROW(ZahlungsZeitplan[[#Headers],['#]])&gt;PlanmäßigeAnzahlZahlungen,"",ROW()-ROW(ZahlungsZeitplan[[#Headers],['#]])),"")</f>
        <v>161</v>
      </c>
      <c r="C174" s="194">
        <f ca="1">IF(ZahlungsZeitplan[[#This Row],['#]]&lt;&gt;"",EOMONTH(DarlehensAnfangsDatum,ROW(ZahlungsZeitplan[[#This Row],['#]])-ROW(ZahlungsZeitplan[[#Headers],['#]])-2)+DAY(DarlehensAnfangsDatum),"")</f>
        <v>50195</v>
      </c>
      <c r="D174" s="195">
        <f ca="1">IF(ZahlungsZeitplan[[#This Row],['#]]&lt;&gt;"",IF(ROW()-ROW(ZahlungsZeitplan[[#Headers],[ANFANGSSALDO]])=1,DarlehensBetrag,INDEX(ZahlungsZeitplan[ENDSALDO],ROW()-ROW(ZahlungsZeitplan[[#Headers],[ANFANGSSALDO]])-1)),"")</f>
        <v>54553.053357264878</v>
      </c>
      <c r="E174" s="195">
        <f ca="1">IF(ZahlungsZeitplan[[#This Row],['#]]&lt;&gt;"",PlanmäßigeZahlung,"")</f>
        <v>645.29573460105871</v>
      </c>
      <c r="F17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4" s="195">
        <f ca="1">IF(ZahlungsZeitplan[[#This Row],['#]]&lt;&gt;"",ZahlungsZeitplan[[#This Row],[GESAMTZAHLUNG]]-ZahlungsZeitplan[[#This Row],[ZINSEN]],"")</f>
        <v>463.90683218815298</v>
      </c>
      <c r="I174" s="195">
        <f ca="1">IF(ZahlungsZeitplan[[#This Row],['#]]&lt;=($D$8*12),IF(ZahlungsZeitplan[[#This Row],['#]]&lt;&gt;"",ZahlungsZeitplan[[#This Row],[ANFANGSSALDO]]*(ZinsSatz/ZahlungenProJahr),""),IF(ZahlungsZeitplan[[#This Row],['#]]&lt;&gt;"",ZahlungsZeitplan[[#This Row],[ANFANGSSALDO]]*((ZinsSatz+$D$9)/ZahlungenProJahr),""))</f>
        <v>181.38890241290574</v>
      </c>
      <c r="J174" s="195">
        <f ca="1">IF(ZahlungsZeitplan[[#This Row],['#]]&lt;&gt;"",IF(ZahlungsZeitplan[[#This Row],[Zahlungen (Plan)]]+ZahlungsZeitplan[[#This Row],[SONDERZAHLUNG]]&lt;=ZahlungsZeitplan[[#This Row],[ANFANGSSALDO]],ZahlungsZeitplan[[#This Row],[ANFANGSSALDO]]-ZahlungsZeitplan[[#This Row],[KAPITAL]],0),"")</f>
        <v>54089.146525076729</v>
      </c>
      <c r="K174" s="195">
        <f ca="1">IF(ZahlungsZeitplan[[#This Row],['#]]&lt;&gt;"",SUM(INDEX(ZahlungsZeitplan[ZINSEN],1,1):ZahlungsZeitplan[[#This Row],[ZINSEN]]),"")</f>
        <v>24126.759795847142</v>
      </c>
    </row>
    <row r="175" spans="2:11">
      <c r="B175" s="193">
        <f ca="1">IF(DarlehenIstGut,IF(ROW()-ROW(ZahlungsZeitplan[[#Headers],['#]])&gt;PlanmäßigeAnzahlZahlungen,"",ROW()-ROW(ZahlungsZeitplan[[#Headers],['#]])),"")</f>
        <v>162</v>
      </c>
      <c r="C175" s="194">
        <f ca="1">IF(ZahlungsZeitplan[[#This Row],['#]]&lt;&gt;"",EOMONTH(DarlehensAnfangsDatum,ROW(ZahlungsZeitplan[[#This Row],['#]])-ROW(ZahlungsZeitplan[[#Headers],['#]])-2)+DAY(DarlehensAnfangsDatum),"")</f>
        <v>50225</v>
      </c>
      <c r="D175" s="195">
        <f ca="1">IF(ZahlungsZeitplan[[#This Row],['#]]&lt;&gt;"",IF(ROW()-ROW(ZahlungsZeitplan[[#Headers],[ANFANGSSALDO]])=1,DarlehensBetrag,INDEX(ZahlungsZeitplan[ENDSALDO],ROW()-ROW(ZahlungsZeitplan[[#Headers],[ANFANGSSALDO]])-1)),"")</f>
        <v>54089.146525076729</v>
      </c>
      <c r="E175" s="195">
        <f ca="1">IF(ZahlungsZeitplan[[#This Row],['#]]&lt;&gt;"",PlanmäßigeZahlung,"")</f>
        <v>645.29573460105871</v>
      </c>
      <c r="F17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5" s="195">
        <f ca="1">IF(ZahlungsZeitplan[[#This Row],['#]]&lt;&gt;"",ZahlungsZeitplan[[#This Row],[GESAMTZAHLUNG]]-ZahlungsZeitplan[[#This Row],[ZINSEN]],"")</f>
        <v>465.44932240517858</v>
      </c>
      <c r="I175" s="195">
        <f ca="1">IF(ZahlungsZeitplan[[#This Row],['#]]&lt;=($D$8*12),IF(ZahlungsZeitplan[[#This Row],['#]]&lt;&gt;"",ZahlungsZeitplan[[#This Row],[ANFANGSSALDO]]*(ZinsSatz/ZahlungenProJahr),""),IF(ZahlungsZeitplan[[#This Row],['#]]&lt;&gt;"",ZahlungsZeitplan[[#This Row],[ANFANGSSALDO]]*((ZinsSatz+$D$9)/ZahlungenProJahr),""))</f>
        <v>179.84641219588013</v>
      </c>
      <c r="J175" s="195">
        <f ca="1">IF(ZahlungsZeitplan[[#This Row],['#]]&lt;&gt;"",IF(ZahlungsZeitplan[[#This Row],[Zahlungen (Plan)]]+ZahlungsZeitplan[[#This Row],[SONDERZAHLUNG]]&lt;=ZahlungsZeitplan[[#This Row],[ANFANGSSALDO]],ZahlungsZeitplan[[#This Row],[ANFANGSSALDO]]-ZahlungsZeitplan[[#This Row],[KAPITAL]],0),"")</f>
        <v>53623.697202671552</v>
      </c>
      <c r="K175" s="195">
        <f ca="1">IF(ZahlungsZeitplan[[#This Row],['#]]&lt;&gt;"",SUM(INDEX(ZahlungsZeitplan[ZINSEN],1,1):ZahlungsZeitplan[[#This Row],[ZINSEN]]),"")</f>
        <v>24306.60620804302</v>
      </c>
    </row>
    <row r="176" spans="2:11">
      <c r="B176" s="193">
        <f ca="1">IF(DarlehenIstGut,IF(ROW()-ROW(ZahlungsZeitplan[[#Headers],['#]])&gt;PlanmäßigeAnzahlZahlungen,"",ROW()-ROW(ZahlungsZeitplan[[#Headers],['#]])),"")</f>
        <v>163</v>
      </c>
      <c r="C176" s="194">
        <f ca="1">IF(ZahlungsZeitplan[[#This Row],['#]]&lt;&gt;"",EOMONTH(DarlehensAnfangsDatum,ROW(ZahlungsZeitplan[[#This Row],['#]])-ROW(ZahlungsZeitplan[[#Headers],['#]])-2)+DAY(DarlehensAnfangsDatum),"")</f>
        <v>50256</v>
      </c>
      <c r="D176" s="195">
        <f ca="1">IF(ZahlungsZeitplan[[#This Row],['#]]&lt;&gt;"",IF(ROW()-ROW(ZahlungsZeitplan[[#Headers],[ANFANGSSALDO]])=1,DarlehensBetrag,INDEX(ZahlungsZeitplan[ENDSALDO],ROW()-ROW(ZahlungsZeitplan[[#Headers],[ANFANGSSALDO]])-1)),"")</f>
        <v>53623.697202671552</v>
      </c>
      <c r="E176" s="195">
        <f ca="1">IF(ZahlungsZeitplan[[#This Row],['#]]&lt;&gt;"",PlanmäßigeZahlung,"")</f>
        <v>645.29573460105871</v>
      </c>
      <c r="F17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6" s="195">
        <f ca="1">IF(ZahlungsZeitplan[[#This Row],['#]]&lt;&gt;"",ZahlungsZeitplan[[#This Row],[GESAMTZAHLUNG]]-ZahlungsZeitplan[[#This Row],[ZINSEN]],"")</f>
        <v>466.99694140217582</v>
      </c>
      <c r="I176" s="195">
        <f ca="1">IF(ZahlungsZeitplan[[#This Row],['#]]&lt;=($D$8*12),IF(ZahlungsZeitplan[[#This Row],['#]]&lt;&gt;"",ZahlungsZeitplan[[#This Row],[ANFANGSSALDO]]*(ZinsSatz/ZahlungenProJahr),""),IF(ZahlungsZeitplan[[#This Row],['#]]&lt;&gt;"",ZahlungsZeitplan[[#This Row],[ANFANGSSALDO]]*((ZinsSatz+$D$9)/ZahlungenProJahr),""))</f>
        <v>178.29879319888292</v>
      </c>
      <c r="J176" s="195">
        <f ca="1">IF(ZahlungsZeitplan[[#This Row],['#]]&lt;&gt;"",IF(ZahlungsZeitplan[[#This Row],[Zahlungen (Plan)]]+ZahlungsZeitplan[[#This Row],[SONDERZAHLUNG]]&lt;=ZahlungsZeitplan[[#This Row],[ANFANGSSALDO]],ZahlungsZeitplan[[#This Row],[ANFANGSSALDO]]-ZahlungsZeitplan[[#This Row],[KAPITAL]],0),"")</f>
        <v>53156.700261269376</v>
      </c>
      <c r="K176" s="195">
        <f ca="1">IF(ZahlungsZeitplan[[#This Row],['#]]&lt;&gt;"",SUM(INDEX(ZahlungsZeitplan[ZINSEN],1,1):ZahlungsZeitplan[[#This Row],[ZINSEN]]),"")</f>
        <v>24484.905001241903</v>
      </c>
    </row>
    <row r="177" spans="2:11">
      <c r="B177" s="193">
        <f ca="1">IF(DarlehenIstGut,IF(ROW()-ROW(ZahlungsZeitplan[[#Headers],['#]])&gt;PlanmäßigeAnzahlZahlungen,"",ROW()-ROW(ZahlungsZeitplan[[#Headers],['#]])),"")</f>
        <v>164</v>
      </c>
      <c r="C177" s="194">
        <f ca="1">IF(ZahlungsZeitplan[[#This Row],['#]]&lt;&gt;"",EOMONTH(DarlehensAnfangsDatum,ROW(ZahlungsZeitplan[[#This Row],['#]])-ROW(ZahlungsZeitplan[[#Headers],['#]])-2)+DAY(DarlehensAnfangsDatum),"")</f>
        <v>50287</v>
      </c>
      <c r="D177" s="195">
        <f ca="1">IF(ZahlungsZeitplan[[#This Row],['#]]&lt;&gt;"",IF(ROW()-ROW(ZahlungsZeitplan[[#Headers],[ANFANGSSALDO]])=1,DarlehensBetrag,INDEX(ZahlungsZeitplan[ENDSALDO],ROW()-ROW(ZahlungsZeitplan[[#Headers],[ANFANGSSALDO]])-1)),"")</f>
        <v>53156.700261269376</v>
      </c>
      <c r="E177" s="195">
        <f ca="1">IF(ZahlungsZeitplan[[#This Row],['#]]&lt;&gt;"",PlanmäßigeZahlung,"")</f>
        <v>645.29573460105871</v>
      </c>
      <c r="F17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7" s="195">
        <f ca="1">IF(ZahlungsZeitplan[[#This Row],['#]]&lt;&gt;"",ZahlungsZeitplan[[#This Row],[GESAMTZAHLUNG]]-ZahlungsZeitplan[[#This Row],[ZINSEN]],"")</f>
        <v>468.54970623233805</v>
      </c>
      <c r="I177" s="195">
        <f ca="1">IF(ZahlungsZeitplan[[#This Row],['#]]&lt;=($D$8*12),IF(ZahlungsZeitplan[[#This Row],['#]]&lt;&gt;"",ZahlungsZeitplan[[#This Row],[ANFANGSSALDO]]*(ZinsSatz/ZahlungenProJahr),""),IF(ZahlungsZeitplan[[#This Row],['#]]&lt;&gt;"",ZahlungsZeitplan[[#This Row],[ANFANGSSALDO]]*((ZinsSatz+$D$9)/ZahlungenProJahr),""))</f>
        <v>176.74602836872069</v>
      </c>
      <c r="J177" s="195">
        <f ca="1">IF(ZahlungsZeitplan[[#This Row],['#]]&lt;&gt;"",IF(ZahlungsZeitplan[[#This Row],[Zahlungen (Plan)]]+ZahlungsZeitplan[[#This Row],[SONDERZAHLUNG]]&lt;=ZahlungsZeitplan[[#This Row],[ANFANGSSALDO]],ZahlungsZeitplan[[#This Row],[ANFANGSSALDO]]-ZahlungsZeitplan[[#This Row],[KAPITAL]],0),"")</f>
        <v>52688.150555037035</v>
      </c>
      <c r="K177" s="195">
        <f ca="1">IF(ZahlungsZeitplan[[#This Row],['#]]&lt;&gt;"",SUM(INDEX(ZahlungsZeitplan[ZINSEN],1,1):ZahlungsZeitplan[[#This Row],[ZINSEN]]),"")</f>
        <v>24661.651029610624</v>
      </c>
    </row>
    <row r="178" spans="2:11">
      <c r="B178" s="193">
        <f ca="1">IF(DarlehenIstGut,IF(ROW()-ROW(ZahlungsZeitplan[[#Headers],['#]])&gt;PlanmäßigeAnzahlZahlungen,"",ROW()-ROW(ZahlungsZeitplan[[#Headers],['#]])),"")</f>
        <v>165</v>
      </c>
      <c r="C178" s="194">
        <f ca="1">IF(ZahlungsZeitplan[[#This Row],['#]]&lt;&gt;"",EOMONTH(DarlehensAnfangsDatum,ROW(ZahlungsZeitplan[[#This Row],['#]])-ROW(ZahlungsZeitplan[[#Headers],['#]])-2)+DAY(DarlehensAnfangsDatum),"")</f>
        <v>50317</v>
      </c>
      <c r="D178" s="195">
        <f ca="1">IF(ZahlungsZeitplan[[#This Row],['#]]&lt;&gt;"",IF(ROW()-ROW(ZahlungsZeitplan[[#Headers],[ANFANGSSALDO]])=1,DarlehensBetrag,INDEX(ZahlungsZeitplan[ENDSALDO],ROW()-ROW(ZahlungsZeitplan[[#Headers],[ANFANGSSALDO]])-1)),"")</f>
        <v>52688.150555037035</v>
      </c>
      <c r="E178" s="195">
        <f ca="1">IF(ZahlungsZeitplan[[#This Row],['#]]&lt;&gt;"",PlanmäßigeZahlung,"")</f>
        <v>645.29573460105871</v>
      </c>
      <c r="F17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8" s="195">
        <f ca="1">IF(ZahlungsZeitplan[[#This Row],['#]]&lt;&gt;"",ZahlungsZeitplan[[#This Row],[GESAMTZAHLUNG]]-ZahlungsZeitplan[[#This Row],[ZINSEN]],"")</f>
        <v>470.10763400556056</v>
      </c>
      <c r="I178" s="195">
        <f ca="1">IF(ZahlungsZeitplan[[#This Row],['#]]&lt;=($D$8*12),IF(ZahlungsZeitplan[[#This Row],['#]]&lt;&gt;"",ZahlungsZeitplan[[#This Row],[ANFANGSSALDO]]*(ZinsSatz/ZahlungenProJahr),""),IF(ZahlungsZeitplan[[#This Row],['#]]&lt;&gt;"",ZahlungsZeitplan[[#This Row],[ANFANGSSALDO]]*((ZinsSatz+$D$9)/ZahlungenProJahr),""))</f>
        <v>175.18810059549816</v>
      </c>
      <c r="J178" s="195">
        <f ca="1">IF(ZahlungsZeitplan[[#This Row],['#]]&lt;&gt;"",IF(ZahlungsZeitplan[[#This Row],[Zahlungen (Plan)]]+ZahlungsZeitplan[[#This Row],[SONDERZAHLUNG]]&lt;=ZahlungsZeitplan[[#This Row],[ANFANGSSALDO]],ZahlungsZeitplan[[#This Row],[ANFANGSSALDO]]-ZahlungsZeitplan[[#This Row],[KAPITAL]],0),"")</f>
        <v>52218.042921031476</v>
      </c>
      <c r="K178" s="195">
        <f ca="1">IF(ZahlungsZeitplan[[#This Row],['#]]&lt;&gt;"",SUM(INDEX(ZahlungsZeitplan[ZINSEN],1,1):ZahlungsZeitplan[[#This Row],[ZINSEN]]),"")</f>
        <v>24836.839130206121</v>
      </c>
    </row>
    <row r="179" spans="2:11">
      <c r="B179" s="193">
        <f ca="1">IF(DarlehenIstGut,IF(ROW()-ROW(ZahlungsZeitplan[[#Headers],['#]])&gt;PlanmäßigeAnzahlZahlungen,"",ROW()-ROW(ZahlungsZeitplan[[#Headers],['#]])),"")</f>
        <v>166</v>
      </c>
      <c r="C179" s="194">
        <f ca="1">IF(ZahlungsZeitplan[[#This Row],['#]]&lt;&gt;"",EOMONTH(DarlehensAnfangsDatum,ROW(ZahlungsZeitplan[[#This Row],['#]])-ROW(ZahlungsZeitplan[[#Headers],['#]])-2)+DAY(DarlehensAnfangsDatum),"")</f>
        <v>50348</v>
      </c>
      <c r="D179" s="195">
        <f ca="1">IF(ZahlungsZeitplan[[#This Row],['#]]&lt;&gt;"",IF(ROW()-ROW(ZahlungsZeitplan[[#Headers],[ANFANGSSALDO]])=1,DarlehensBetrag,INDEX(ZahlungsZeitplan[ENDSALDO],ROW()-ROW(ZahlungsZeitplan[[#Headers],[ANFANGSSALDO]])-1)),"")</f>
        <v>52218.042921031476</v>
      </c>
      <c r="E179" s="195">
        <f ca="1">IF(ZahlungsZeitplan[[#This Row],['#]]&lt;&gt;"",PlanmäßigeZahlung,"")</f>
        <v>645.29573460105871</v>
      </c>
      <c r="F17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7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79" s="195">
        <f ca="1">IF(ZahlungsZeitplan[[#This Row],['#]]&lt;&gt;"",ZahlungsZeitplan[[#This Row],[GESAMTZAHLUNG]]-ZahlungsZeitplan[[#This Row],[ZINSEN]],"")</f>
        <v>471.67074188862904</v>
      </c>
      <c r="I179" s="195">
        <f ca="1">IF(ZahlungsZeitplan[[#This Row],['#]]&lt;=($D$8*12),IF(ZahlungsZeitplan[[#This Row],['#]]&lt;&gt;"",ZahlungsZeitplan[[#This Row],[ANFANGSSALDO]]*(ZinsSatz/ZahlungenProJahr),""),IF(ZahlungsZeitplan[[#This Row],['#]]&lt;&gt;"",ZahlungsZeitplan[[#This Row],[ANFANGSSALDO]]*((ZinsSatz+$D$9)/ZahlungenProJahr),""))</f>
        <v>173.62499271242967</v>
      </c>
      <c r="J179" s="195">
        <f ca="1">IF(ZahlungsZeitplan[[#This Row],['#]]&lt;&gt;"",IF(ZahlungsZeitplan[[#This Row],[Zahlungen (Plan)]]+ZahlungsZeitplan[[#This Row],[SONDERZAHLUNG]]&lt;=ZahlungsZeitplan[[#This Row],[ANFANGSSALDO]],ZahlungsZeitplan[[#This Row],[ANFANGSSALDO]]-ZahlungsZeitplan[[#This Row],[KAPITAL]],0),"")</f>
        <v>51746.372179142847</v>
      </c>
      <c r="K179" s="195">
        <f ca="1">IF(ZahlungsZeitplan[[#This Row],['#]]&lt;&gt;"",SUM(INDEX(ZahlungsZeitplan[ZINSEN],1,1):ZahlungsZeitplan[[#This Row],[ZINSEN]]),"")</f>
        <v>25010.464122918551</v>
      </c>
    </row>
    <row r="180" spans="2:11">
      <c r="B180" s="193">
        <f ca="1">IF(DarlehenIstGut,IF(ROW()-ROW(ZahlungsZeitplan[[#Headers],['#]])&gt;PlanmäßigeAnzahlZahlungen,"",ROW()-ROW(ZahlungsZeitplan[[#Headers],['#]])),"")</f>
        <v>167</v>
      </c>
      <c r="C180" s="194">
        <f ca="1">IF(ZahlungsZeitplan[[#This Row],['#]]&lt;&gt;"",EOMONTH(DarlehensAnfangsDatum,ROW(ZahlungsZeitplan[[#This Row],['#]])-ROW(ZahlungsZeitplan[[#Headers],['#]])-2)+DAY(DarlehensAnfangsDatum),"")</f>
        <v>50378</v>
      </c>
      <c r="D180" s="195">
        <f ca="1">IF(ZahlungsZeitplan[[#This Row],['#]]&lt;&gt;"",IF(ROW()-ROW(ZahlungsZeitplan[[#Headers],[ANFANGSSALDO]])=1,DarlehensBetrag,INDEX(ZahlungsZeitplan[ENDSALDO],ROW()-ROW(ZahlungsZeitplan[[#Headers],[ANFANGSSALDO]])-1)),"")</f>
        <v>51746.372179142847</v>
      </c>
      <c r="E180" s="195">
        <f ca="1">IF(ZahlungsZeitplan[[#This Row],['#]]&lt;&gt;"",PlanmäßigeZahlung,"")</f>
        <v>645.29573460105871</v>
      </c>
      <c r="F18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0" s="195">
        <f ca="1">IF(ZahlungsZeitplan[[#This Row],['#]]&lt;&gt;"",ZahlungsZeitplan[[#This Row],[GESAMTZAHLUNG]]-ZahlungsZeitplan[[#This Row],[ZINSEN]],"")</f>
        <v>473.23904710540876</v>
      </c>
      <c r="I180" s="195">
        <f ca="1">IF(ZahlungsZeitplan[[#This Row],['#]]&lt;=($D$8*12),IF(ZahlungsZeitplan[[#This Row],['#]]&lt;&gt;"",ZahlungsZeitplan[[#This Row],[ANFANGSSALDO]]*(ZinsSatz/ZahlungenProJahr),""),IF(ZahlungsZeitplan[[#This Row],['#]]&lt;&gt;"",ZahlungsZeitplan[[#This Row],[ANFANGSSALDO]]*((ZinsSatz+$D$9)/ZahlungenProJahr),""))</f>
        <v>172.05668749564998</v>
      </c>
      <c r="J180" s="195">
        <f ca="1">IF(ZahlungsZeitplan[[#This Row],['#]]&lt;&gt;"",IF(ZahlungsZeitplan[[#This Row],[Zahlungen (Plan)]]+ZahlungsZeitplan[[#This Row],[SONDERZAHLUNG]]&lt;=ZahlungsZeitplan[[#This Row],[ANFANGSSALDO]],ZahlungsZeitplan[[#This Row],[ANFANGSSALDO]]-ZahlungsZeitplan[[#This Row],[KAPITAL]],0),"")</f>
        <v>51273.133132037437</v>
      </c>
      <c r="K180" s="195">
        <f ca="1">IF(ZahlungsZeitplan[[#This Row],['#]]&lt;&gt;"",SUM(INDEX(ZahlungsZeitplan[ZINSEN],1,1):ZahlungsZeitplan[[#This Row],[ZINSEN]]),"")</f>
        <v>25182.5208104142</v>
      </c>
    </row>
    <row r="181" spans="2:11">
      <c r="B181" s="193">
        <f ca="1">IF(DarlehenIstGut,IF(ROW()-ROW(ZahlungsZeitplan[[#Headers],['#]])&gt;PlanmäßigeAnzahlZahlungen,"",ROW()-ROW(ZahlungsZeitplan[[#Headers],['#]])),"")</f>
        <v>168</v>
      </c>
      <c r="C181" s="194">
        <f ca="1">IF(ZahlungsZeitplan[[#This Row],['#]]&lt;&gt;"",EOMONTH(DarlehensAnfangsDatum,ROW(ZahlungsZeitplan[[#This Row],['#]])-ROW(ZahlungsZeitplan[[#Headers],['#]])-2)+DAY(DarlehensAnfangsDatum),"")</f>
        <v>50409</v>
      </c>
      <c r="D181" s="195">
        <f ca="1">IF(ZahlungsZeitplan[[#This Row],['#]]&lt;&gt;"",IF(ROW()-ROW(ZahlungsZeitplan[[#Headers],[ANFANGSSALDO]])=1,DarlehensBetrag,INDEX(ZahlungsZeitplan[ENDSALDO],ROW()-ROW(ZahlungsZeitplan[[#Headers],[ANFANGSSALDO]])-1)),"")</f>
        <v>51273.133132037437</v>
      </c>
      <c r="E181" s="195">
        <f ca="1">IF(ZahlungsZeitplan[[#This Row],['#]]&lt;&gt;"",PlanmäßigeZahlung,"")</f>
        <v>645.29573460105871</v>
      </c>
      <c r="F18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1" s="195">
        <f ca="1">IF(ZahlungsZeitplan[[#This Row],['#]]&lt;&gt;"",ZahlungsZeitplan[[#This Row],[GESAMTZAHLUNG]]-ZahlungsZeitplan[[#This Row],[ZINSEN]],"")</f>
        <v>474.81256693703421</v>
      </c>
      <c r="I181" s="195">
        <f ca="1">IF(ZahlungsZeitplan[[#This Row],['#]]&lt;=($D$8*12),IF(ZahlungsZeitplan[[#This Row],['#]]&lt;&gt;"",ZahlungsZeitplan[[#This Row],[ANFANGSSALDO]]*(ZinsSatz/ZahlungenProJahr),""),IF(ZahlungsZeitplan[[#This Row],['#]]&lt;&gt;"",ZahlungsZeitplan[[#This Row],[ANFANGSSALDO]]*((ZinsSatz+$D$9)/ZahlungenProJahr),""))</f>
        <v>170.48316766402451</v>
      </c>
      <c r="J181" s="195">
        <f ca="1">IF(ZahlungsZeitplan[[#This Row],['#]]&lt;&gt;"",IF(ZahlungsZeitplan[[#This Row],[Zahlungen (Plan)]]+ZahlungsZeitplan[[#This Row],[SONDERZAHLUNG]]&lt;=ZahlungsZeitplan[[#This Row],[ANFANGSSALDO]],ZahlungsZeitplan[[#This Row],[ANFANGSSALDO]]-ZahlungsZeitplan[[#This Row],[KAPITAL]],0),"")</f>
        <v>50798.320565100403</v>
      </c>
      <c r="K181" s="195">
        <f ca="1">IF(ZahlungsZeitplan[[#This Row],['#]]&lt;&gt;"",SUM(INDEX(ZahlungsZeitplan[ZINSEN],1,1):ZahlungsZeitplan[[#This Row],[ZINSEN]]),"")</f>
        <v>25353.003978078224</v>
      </c>
    </row>
    <row r="182" spans="2:11">
      <c r="B182" s="193">
        <f ca="1">IF(DarlehenIstGut,IF(ROW()-ROW(ZahlungsZeitplan[[#Headers],['#]])&gt;PlanmäßigeAnzahlZahlungen,"",ROW()-ROW(ZahlungsZeitplan[[#Headers],['#]])),"")</f>
        <v>169</v>
      </c>
      <c r="C182" s="194">
        <f ca="1">IF(ZahlungsZeitplan[[#This Row],['#]]&lt;&gt;"",EOMONTH(DarlehensAnfangsDatum,ROW(ZahlungsZeitplan[[#This Row],['#]])-ROW(ZahlungsZeitplan[[#Headers],['#]])-2)+DAY(DarlehensAnfangsDatum),"")</f>
        <v>50440</v>
      </c>
      <c r="D182" s="195">
        <f ca="1">IF(ZahlungsZeitplan[[#This Row],['#]]&lt;&gt;"",IF(ROW()-ROW(ZahlungsZeitplan[[#Headers],[ANFANGSSALDO]])=1,DarlehensBetrag,INDEX(ZahlungsZeitplan[ENDSALDO],ROW()-ROW(ZahlungsZeitplan[[#Headers],[ANFANGSSALDO]])-1)),"")</f>
        <v>50798.320565100403</v>
      </c>
      <c r="E182" s="195">
        <f ca="1">IF(ZahlungsZeitplan[[#This Row],['#]]&lt;&gt;"",PlanmäßigeZahlung,"")</f>
        <v>645.29573460105871</v>
      </c>
      <c r="F18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2" s="195">
        <f ca="1">IF(ZahlungsZeitplan[[#This Row],['#]]&lt;&gt;"",ZahlungsZeitplan[[#This Row],[GESAMTZAHLUNG]]-ZahlungsZeitplan[[#This Row],[ZINSEN]],"")</f>
        <v>476.39131872209987</v>
      </c>
      <c r="I182" s="195">
        <f ca="1">IF(ZahlungsZeitplan[[#This Row],['#]]&lt;=($D$8*12),IF(ZahlungsZeitplan[[#This Row],['#]]&lt;&gt;"",ZahlungsZeitplan[[#This Row],[ANFANGSSALDO]]*(ZinsSatz/ZahlungenProJahr),""),IF(ZahlungsZeitplan[[#This Row],['#]]&lt;&gt;"",ZahlungsZeitplan[[#This Row],[ANFANGSSALDO]]*((ZinsSatz+$D$9)/ZahlungenProJahr),""))</f>
        <v>168.90441587895884</v>
      </c>
      <c r="J182" s="195">
        <f ca="1">IF(ZahlungsZeitplan[[#This Row],['#]]&lt;&gt;"",IF(ZahlungsZeitplan[[#This Row],[Zahlungen (Plan)]]+ZahlungsZeitplan[[#This Row],[SONDERZAHLUNG]]&lt;=ZahlungsZeitplan[[#This Row],[ANFANGSSALDO]],ZahlungsZeitplan[[#This Row],[ANFANGSSALDO]]-ZahlungsZeitplan[[#This Row],[KAPITAL]],0),"")</f>
        <v>50321.929246378306</v>
      </c>
      <c r="K182" s="195">
        <f ca="1">IF(ZahlungsZeitplan[[#This Row],['#]]&lt;&gt;"",SUM(INDEX(ZahlungsZeitplan[ZINSEN],1,1):ZahlungsZeitplan[[#This Row],[ZINSEN]]),"")</f>
        <v>25521.908393957183</v>
      </c>
    </row>
    <row r="183" spans="2:11">
      <c r="B183" s="193">
        <f ca="1">IF(DarlehenIstGut,IF(ROW()-ROW(ZahlungsZeitplan[[#Headers],['#]])&gt;PlanmäßigeAnzahlZahlungen,"",ROW()-ROW(ZahlungsZeitplan[[#Headers],['#]])),"")</f>
        <v>170</v>
      </c>
      <c r="C183" s="194">
        <f ca="1">IF(ZahlungsZeitplan[[#This Row],['#]]&lt;&gt;"",EOMONTH(DarlehensAnfangsDatum,ROW(ZahlungsZeitplan[[#This Row],['#]])-ROW(ZahlungsZeitplan[[#Headers],['#]])-2)+DAY(DarlehensAnfangsDatum),"")</f>
        <v>50468</v>
      </c>
      <c r="D183" s="195">
        <f ca="1">IF(ZahlungsZeitplan[[#This Row],['#]]&lt;&gt;"",IF(ROW()-ROW(ZahlungsZeitplan[[#Headers],[ANFANGSSALDO]])=1,DarlehensBetrag,INDEX(ZahlungsZeitplan[ENDSALDO],ROW()-ROW(ZahlungsZeitplan[[#Headers],[ANFANGSSALDO]])-1)),"")</f>
        <v>50321.929246378306</v>
      </c>
      <c r="E183" s="195">
        <f ca="1">IF(ZahlungsZeitplan[[#This Row],['#]]&lt;&gt;"",PlanmäßigeZahlung,"")</f>
        <v>645.29573460105871</v>
      </c>
      <c r="F18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3" s="195">
        <f ca="1">IF(ZahlungsZeitplan[[#This Row],['#]]&lt;&gt;"",ZahlungsZeitplan[[#This Row],[GESAMTZAHLUNG]]-ZahlungsZeitplan[[#This Row],[ZINSEN]],"")</f>
        <v>477.97531985685083</v>
      </c>
      <c r="I183" s="195">
        <f ca="1">IF(ZahlungsZeitplan[[#This Row],['#]]&lt;=($D$8*12),IF(ZahlungsZeitplan[[#This Row],['#]]&lt;&gt;"",ZahlungsZeitplan[[#This Row],[ANFANGSSALDO]]*(ZinsSatz/ZahlungenProJahr),""),IF(ZahlungsZeitplan[[#This Row],['#]]&lt;&gt;"",ZahlungsZeitplan[[#This Row],[ANFANGSSALDO]]*((ZinsSatz+$D$9)/ZahlungenProJahr),""))</f>
        <v>167.32041474420788</v>
      </c>
      <c r="J183" s="195">
        <f ca="1">IF(ZahlungsZeitplan[[#This Row],['#]]&lt;&gt;"",IF(ZahlungsZeitplan[[#This Row],[Zahlungen (Plan)]]+ZahlungsZeitplan[[#This Row],[SONDERZAHLUNG]]&lt;=ZahlungsZeitplan[[#This Row],[ANFANGSSALDO]],ZahlungsZeitplan[[#This Row],[ANFANGSSALDO]]-ZahlungsZeitplan[[#This Row],[KAPITAL]],0),"")</f>
        <v>49843.953926521455</v>
      </c>
      <c r="K183" s="195">
        <f ca="1">IF(ZahlungsZeitplan[[#This Row],['#]]&lt;&gt;"",SUM(INDEX(ZahlungsZeitplan[ZINSEN],1,1):ZahlungsZeitplan[[#This Row],[ZINSEN]]),"")</f>
        <v>25689.228808701391</v>
      </c>
    </row>
    <row r="184" spans="2:11">
      <c r="B184" s="193">
        <f ca="1">IF(DarlehenIstGut,IF(ROW()-ROW(ZahlungsZeitplan[[#Headers],['#]])&gt;PlanmäßigeAnzahlZahlungen,"",ROW()-ROW(ZahlungsZeitplan[[#Headers],['#]])),"")</f>
        <v>171</v>
      </c>
      <c r="C184" s="194">
        <f ca="1">IF(ZahlungsZeitplan[[#This Row],['#]]&lt;&gt;"",EOMONTH(DarlehensAnfangsDatum,ROW(ZahlungsZeitplan[[#This Row],['#]])-ROW(ZahlungsZeitplan[[#Headers],['#]])-2)+DAY(DarlehensAnfangsDatum),"")</f>
        <v>50499</v>
      </c>
      <c r="D184" s="195">
        <f ca="1">IF(ZahlungsZeitplan[[#This Row],['#]]&lt;&gt;"",IF(ROW()-ROW(ZahlungsZeitplan[[#Headers],[ANFANGSSALDO]])=1,DarlehensBetrag,INDEX(ZahlungsZeitplan[ENDSALDO],ROW()-ROW(ZahlungsZeitplan[[#Headers],[ANFANGSSALDO]])-1)),"")</f>
        <v>49843.953926521455</v>
      </c>
      <c r="E184" s="195">
        <f ca="1">IF(ZahlungsZeitplan[[#This Row],['#]]&lt;&gt;"",PlanmäßigeZahlung,"")</f>
        <v>645.29573460105871</v>
      </c>
      <c r="F18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4" s="195">
        <f ca="1">IF(ZahlungsZeitplan[[#This Row],['#]]&lt;&gt;"",ZahlungsZeitplan[[#This Row],[GESAMTZAHLUNG]]-ZahlungsZeitplan[[#This Row],[ZINSEN]],"")</f>
        <v>479.56458779537485</v>
      </c>
      <c r="I184" s="195">
        <f ca="1">IF(ZahlungsZeitplan[[#This Row],['#]]&lt;=($D$8*12),IF(ZahlungsZeitplan[[#This Row],['#]]&lt;&gt;"",ZahlungsZeitplan[[#This Row],[ANFANGSSALDO]]*(ZinsSatz/ZahlungenProJahr),""),IF(ZahlungsZeitplan[[#This Row],['#]]&lt;&gt;"",ZahlungsZeitplan[[#This Row],[ANFANGSSALDO]]*((ZinsSatz+$D$9)/ZahlungenProJahr),""))</f>
        <v>165.73114680568386</v>
      </c>
      <c r="J184" s="195">
        <f ca="1">IF(ZahlungsZeitplan[[#This Row],['#]]&lt;&gt;"",IF(ZahlungsZeitplan[[#This Row],[Zahlungen (Plan)]]+ZahlungsZeitplan[[#This Row],[SONDERZAHLUNG]]&lt;=ZahlungsZeitplan[[#This Row],[ANFANGSSALDO]],ZahlungsZeitplan[[#This Row],[ANFANGSSALDO]]-ZahlungsZeitplan[[#This Row],[KAPITAL]],0),"")</f>
        <v>49364.389338726083</v>
      </c>
      <c r="K184" s="195">
        <f ca="1">IF(ZahlungsZeitplan[[#This Row],['#]]&lt;&gt;"",SUM(INDEX(ZahlungsZeitplan[ZINSEN],1,1):ZahlungsZeitplan[[#This Row],[ZINSEN]]),"")</f>
        <v>25854.959955507074</v>
      </c>
    </row>
    <row r="185" spans="2:11">
      <c r="B185" s="193">
        <f ca="1">IF(DarlehenIstGut,IF(ROW()-ROW(ZahlungsZeitplan[[#Headers],['#]])&gt;PlanmäßigeAnzahlZahlungen,"",ROW()-ROW(ZahlungsZeitplan[[#Headers],['#]])),"")</f>
        <v>172</v>
      </c>
      <c r="C185" s="194">
        <f ca="1">IF(ZahlungsZeitplan[[#This Row],['#]]&lt;&gt;"",EOMONTH(DarlehensAnfangsDatum,ROW(ZahlungsZeitplan[[#This Row],['#]])-ROW(ZahlungsZeitplan[[#Headers],['#]])-2)+DAY(DarlehensAnfangsDatum),"")</f>
        <v>50529</v>
      </c>
      <c r="D185" s="195">
        <f ca="1">IF(ZahlungsZeitplan[[#This Row],['#]]&lt;&gt;"",IF(ROW()-ROW(ZahlungsZeitplan[[#Headers],[ANFANGSSALDO]])=1,DarlehensBetrag,INDEX(ZahlungsZeitplan[ENDSALDO],ROW()-ROW(ZahlungsZeitplan[[#Headers],[ANFANGSSALDO]])-1)),"")</f>
        <v>49364.389338726083</v>
      </c>
      <c r="E185" s="195">
        <f ca="1">IF(ZahlungsZeitplan[[#This Row],['#]]&lt;&gt;"",PlanmäßigeZahlung,"")</f>
        <v>645.29573460105871</v>
      </c>
      <c r="F18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5" s="195">
        <f ca="1">IF(ZahlungsZeitplan[[#This Row],['#]]&lt;&gt;"",ZahlungsZeitplan[[#This Row],[GESAMTZAHLUNG]]-ZahlungsZeitplan[[#This Row],[ZINSEN]],"")</f>
        <v>481.15914004979447</v>
      </c>
      <c r="I185" s="195">
        <f ca="1">IF(ZahlungsZeitplan[[#This Row],['#]]&lt;=($D$8*12),IF(ZahlungsZeitplan[[#This Row],['#]]&lt;&gt;"",ZahlungsZeitplan[[#This Row],[ANFANGSSALDO]]*(ZinsSatz/ZahlungenProJahr),""),IF(ZahlungsZeitplan[[#This Row],['#]]&lt;&gt;"",ZahlungsZeitplan[[#This Row],[ANFANGSSALDO]]*((ZinsSatz+$D$9)/ZahlungenProJahr),""))</f>
        <v>164.13659455126424</v>
      </c>
      <c r="J185" s="195">
        <f ca="1">IF(ZahlungsZeitplan[[#This Row],['#]]&lt;&gt;"",IF(ZahlungsZeitplan[[#This Row],[Zahlungen (Plan)]]+ZahlungsZeitplan[[#This Row],[SONDERZAHLUNG]]&lt;=ZahlungsZeitplan[[#This Row],[ANFANGSSALDO]],ZahlungsZeitplan[[#This Row],[ANFANGSSALDO]]-ZahlungsZeitplan[[#This Row],[KAPITAL]],0),"")</f>
        <v>48883.23019867629</v>
      </c>
      <c r="K185" s="195">
        <f ca="1">IF(ZahlungsZeitplan[[#This Row],['#]]&lt;&gt;"",SUM(INDEX(ZahlungsZeitplan[ZINSEN],1,1):ZahlungsZeitplan[[#This Row],[ZINSEN]]),"")</f>
        <v>26019.096550058337</v>
      </c>
    </row>
    <row r="186" spans="2:11">
      <c r="B186" s="193">
        <f ca="1">IF(DarlehenIstGut,IF(ROW()-ROW(ZahlungsZeitplan[[#Headers],['#]])&gt;PlanmäßigeAnzahlZahlungen,"",ROW()-ROW(ZahlungsZeitplan[[#Headers],['#]])),"")</f>
        <v>173</v>
      </c>
      <c r="C186" s="194">
        <f ca="1">IF(ZahlungsZeitplan[[#This Row],['#]]&lt;&gt;"",EOMONTH(DarlehensAnfangsDatum,ROW(ZahlungsZeitplan[[#This Row],['#]])-ROW(ZahlungsZeitplan[[#Headers],['#]])-2)+DAY(DarlehensAnfangsDatum),"")</f>
        <v>50560</v>
      </c>
      <c r="D186" s="195">
        <f ca="1">IF(ZahlungsZeitplan[[#This Row],['#]]&lt;&gt;"",IF(ROW()-ROW(ZahlungsZeitplan[[#Headers],[ANFANGSSALDO]])=1,DarlehensBetrag,INDEX(ZahlungsZeitplan[ENDSALDO],ROW()-ROW(ZahlungsZeitplan[[#Headers],[ANFANGSSALDO]])-1)),"")</f>
        <v>48883.23019867629</v>
      </c>
      <c r="E186" s="195">
        <f ca="1">IF(ZahlungsZeitplan[[#This Row],['#]]&lt;&gt;"",PlanmäßigeZahlung,"")</f>
        <v>645.29573460105871</v>
      </c>
      <c r="F18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6" s="195">
        <f ca="1">IF(ZahlungsZeitplan[[#This Row],['#]]&lt;&gt;"",ZahlungsZeitplan[[#This Row],[GESAMTZAHLUNG]]-ZahlungsZeitplan[[#This Row],[ZINSEN]],"")</f>
        <v>482.75899419046004</v>
      </c>
      <c r="I186" s="195">
        <f ca="1">IF(ZahlungsZeitplan[[#This Row],['#]]&lt;=($D$8*12),IF(ZahlungsZeitplan[[#This Row],['#]]&lt;&gt;"",ZahlungsZeitplan[[#This Row],[ANFANGSSALDO]]*(ZinsSatz/ZahlungenProJahr),""),IF(ZahlungsZeitplan[[#This Row],['#]]&lt;&gt;"",ZahlungsZeitplan[[#This Row],[ANFANGSSALDO]]*((ZinsSatz+$D$9)/ZahlungenProJahr),""))</f>
        <v>162.53674041059867</v>
      </c>
      <c r="J186" s="195">
        <f ca="1">IF(ZahlungsZeitplan[[#This Row],['#]]&lt;&gt;"",IF(ZahlungsZeitplan[[#This Row],[Zahlungen (Plan)]]+ZahlungsZeitplan[[#This Row],[SONDERZAHLUNG]]&lt;=ZahlungsZeitplan[[#This Row],[ANFANGSSALDO]],ZahlungsZeitplan[[#This Row],[ANFANGSSALDO]]-ZahlungsZeitplan[[#This Row],[KAPITAL]],0),"")</f>
        <v>48400.471204485832</v>
      </c>
      <c r="K186" s="195">
        <f ca="1">IF(ZahlungsZeitplan[[#This Row],['#]]&lt;&gt;"",SUM(INDEX(ZahlungsZeitplan[ZINSEN],1,1):ZahlungsZeitplan[[#This Row],[ZINSEN]]),"")</f>
        <v>26181.633290468937</v>
      </c>
    </row>
    <row r="187" spans="2:11">
      <c r="B187" s="193">
        <f ca="1">IF(DarlehenIstGut,IF(ROW()-ROW(ZahlungsZeitplan[[#Headers],['#]])&gt;PlanmäßigeAnzahlZahlungen,"",ROW()-ROW(ZahlungsZeitplan[[#Headers],['#]])),"")</f>
        <v>174</v>
      </c>
      <c r="C187" s="194">
        <f ca="1">IF(ZahlungsZeitplan[[#This Row],['#]]&lt;&gt;"",EOMONTH(DarlehensAnfangsDatum,ROW(ZahlungsZeitplan[[#This Row],['#]])-ROW(ZahlungsZeitplan[[#Headers],['#]])-2)+DAY(DarlehensAnfangsDatum),"")</f>
        <v>50590</v>
      </c>
      <c r="D187" s="195">
        <f ca="1">IF(ZahlungsZeitplan[[#This Row],['#]]&lt;&gt;"",IF(ROW()-ROW(ZahlungsZeitplan[[#Headers],[ANFANGSSALDO]])=1,DarlehensBetrag,INDEX(ZahlungsZeitplan[ENDSALDO],ROW()-ROW(ZahlungsZeitplan[[#Headers],[ANFANGSSALDO]])-1)),"")</f>
        <v>48400.471204485832</v>
      </c>
      <c r="E187" s="195">
        <f ca="1">IF(ZahlungsZeitplan[[#This Row],['#]]&lt;&gt;"",PlanmäßigeZahlung,"")</f>
        <v>645.29573460105871</v>
      </c>
      <c r="F18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7" s="195">
        <f ca="1">IF(ZahlungsZeitplan[[#This Row],['#]]&lt;&gt;"",ZahlungsZeitplan[[#This Row],[GESAMTZAHLUNG]]-ZahlungsZeitplan[[#This Row],[ZINSEN]],"")</f>
        <v>484.36416784614335</v>
      </c>
      <c r="I187" s="195">
        <f ca="1">IF(ZahlungsZeitplan[[#This Row],['#]]&lt;=($D$8*12),IF(ZahlungsZeitplan[[#This Row],['#]]&lt;&gt;"",ZahlungsZeitplan[[#This Row],[ANFANGSSALDO]]*(ZinsSatz/ZahlungenProJahr),""),IF(ZahlungsZeitplan[[#This Row],['#]]&lt;&gt;"",ZahlungsZeitplan[[#This Row],[ANFANGSSALDO]]*((ZinsSatz+$D$9)/ZahlungenProJahr),""))</f>
        <v>160.93156675491539</v>
      </c>
      <c r="J187" s="195">
        <f ca="1">IF(ZahlungsZeitplan[[#This Row],['#]]&lt;&gt;"",IF(ZahlungsZeitplan[[#This Row],[Zahlungen (Plan)]]+ZahlungsZeitplan[[#This Row],[SONDERZAHLUNG]]&lt;=ZahlungsZeitplan[[#This Row],[ANFANGSSALDO]],ZahlungsZeitplan[[#This Row],[ANFANGSSALDO]]-ZahlungsZeitplan[[#This Row],[KAPITAL]],0),"")</f>
        <v>47916.107036639689</v>
      </c>
      <c r="K187" s="195">
        <f ca="1">IF(ZahlungsZeitplan[[#This Row],['#]]&lt;&gt;"",SUM(INDEX(ZahlungsZeitplan[ZINSEN],1,1):ZahlungsZeitplan[[#This Row],[ZINSEN]]),"")</f>
        <v>26342.564857223853</v>
      </c>
    </row>
    <row r="188" spans="2:11">
      <c r="B188" s="193">
        <f ca="1">IF(DarlehenIstGut,IF(ROW()-ROW(ZahlungsZeitplan[[#Headers],['#]])&gt;PlanmäßigeAnzahlZahlungen,"",ROW()-ROW(ZahlungsZeitplan[[#Headers],['#]])),"")</f>
        <v>175</v>
      </c>
      <c r="C188" s="194">
        <f ca="1">IF(ZahlungsZeitplan[[#This Row],['#]]&lt;&gt;"",EOMONTH(DarlehensAnfangsDatum,ROW(ZahlungsZeitplan[[#This Row],['#]])-ROW(ZahlungsZeitplan[[#Headers],['#]])-2)+DAY(DarlehensAnfangsDatum),"")</f>
        <v>50621</v>
      </c>
      <c r="D188" s="195">
        <f ca="1">IF(ZahlungsZeitplan[[#This Row],['#]]&lt;&gt;"",IF(ROW()-ROW(ZahlungsZeitplan[[#Headers],[ANFANGSSALDO]])=1,DarlehensBetrag,INDEX(ZahlungsZeitplan[ENDSALDO],ROW()-ROW(ZahlungsZeitplan[[#Headers],[ANFANGSSALDO]])-1)),"")</f>
        <v>47916.107036639689</v>
      </c>
      <c r="E188" s="195">
        <f ca="1">IF(ZahlungsZeitplan[[#This Row],['#]]&lt;&gt;"",PlanmäßigeZahlung,"")</f>
        <v>645.29573460105871</v>
      </c>
      <c r="F18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8" s="195">
        <f ca="1">IF(ZahlungsZeitplan[[#This Row],['#]]&lt;&gt;"",ZahlungsZeitplan[[#This Row],[GESAMTZAHLUNG]]-ZahlungsZeitplan[[#This Row],[ZINSEN]],"")</f>
        <v>485.97467870423174</v>
      </c>
      <c r="I188" s="195">
        <f ca="1">IF(ZahlungsZeitplan[[#This Row],['#]]&lt;=($D$8*12),IF(ZahlungsZeitplan[[#This Row],['#]]&lt;&gt;"",ZahlungsZeitplan[[#This Row],[ANFANGSSALDO]]*(ZinsSatz/ZahlungenProJahr),""),IF(ZahlungsZeitplan[[#This Row],['#]]&lt;&gt;"",ZahlungsZeitplan[[#This Row],[ANFANGSSALDO]]*((ZinsSatz+$D$9)/ZahlungenProJahr),""))</f>
        <v>159.32105589682698</v>
      </c>
      <c r="J188" s="195">
        <f ca="1">IF(ZahlungsZeitplan[[#This Row],['#]]&lt;&gt;"",IF(ZahlungsZeitplan[[#This Row],[Zahlungen (Plan)]]+ZahlungsZeitplan[[#This Row],[SONDERZAHLUNG]]&lt;=ZahlungsZeitplan[[#This Row],[ANFANGSSALDO]],ZahlungsZeitplan[[#This Row],[ANFANGSSALDO]]-ZahlungsZeitplan[[#This Row],[KAPITAL]],0),"")</f>
        <v>47430.132357935458</v>
      </c>
      <c r="K188" s="195">
        <f ca="1">IF(ZahlungsZeitplan[[#This Row],['#]]&lt;&gt;"",SUM(INDEX(ZahlungsZeitplan[ZINSEN],1,1):ZahlungsZeitplan[[#This Row],[ZINSEN]]),"")</f>
        <v>26501.885913120681</v>
      </c>
    </row>
    <row r="189" spans="2:11">
      <c r="B189" s="193">
        <f ca="1">IF(DarlehenIstGut,IF(ROW()-ROW(ZahlungsZeitplan[[#Headers],['#]])&gt;PlanmäßigeAnzahlZahlungen,"",ROW()-ROW(ZahlungsZeitplan[[#Headers],['#]])),"")</f>
        <v>176</v>
      </c>
      <c r="C189" s="194">
        <f ca="1">IF(ZahlungsZeitplan[[#This Row],['#]]&lt;&gt;"",EOMONTH(DarlehensAnfangsDatum,ROW(ZahlungsZeitplan[[#This Row],['#]])-ROW(ZahlungsZeitplan[[#Headers],['#]])-2)+DAY(DarlehensAnfangsDatum),"")</f>
        <v>50652</v>
      </c>
      <c r="D189" s="195">
        <f ca="1">IF(ZahlungsZeitplan[[#This Row],['#]]&lt;&gt;"",IF(ROW()-ROW(ZahlungsZeitplan[[#Headers],[ANFANGSSALDO]])=1,DarlehensBetrag,INDEX(ZahlungsZeitplan[ENDSALDO],ROW()-ROW(ZahlungsZeitplan[[#Headers],[ANFANGSSALDO]])-1)),"")</f>
        <v>47430.132357935458</v>
      </c>
      <c r="E189" s="195">
        <f ca="1">IF(ZahlungsZeitplan[[#This Row],['#]]&lt;&gt;"",PlanmäßigeZahlung,"")</f>
        <v>645.29573460105871</v>
      </c>
      <c r="F18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8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89" s="195">
        <f ca="1">IF(ZahlungsZeitplan[[#This Row],['#]]&lt;&gt;"",ZahlungsZeitplan[[#This Row],[GESAMTZAHLUNG]]-ZahlungsZeitplan[[#This Row],[ZINSEN]],"")</f>
        <v>487.59054451092334</v>
      </c>
      <c r="I189" s="195">
        <f ca="1">IF(ZahlungsZeitplan[[#This Row],['#]]&lt;=($D$8*12),IF(ZahlungsZeitplan[[#This Row],['#]]&lt;&gt;"",ZahlungsZeitplan[[#This Row],[ANFANGSSALDO]]*(ZinsSatz/ZahlungenProJahr),""),IF(ZahlungsZeitplan[[#This Row],['#]]&lt;&gt;"",ZahlungsZeitplan[[#This Row],[ANFANGSSALDO]]*((ZinsSatz+$D$9)/ZahlungenProJahr),""))</f>
        <v>157.7051900901354</v>
      </c>
      <c r="J189" s="195">
        <f ca="1">IF(ZahlungsZeitplan[[#This Row],['#]]&lt;&gt;"",IF(ZahlungsZeitplan[[#This Row],[Zahlungen (Plan)]]+ZahlungsZeitplan[[#This Row],[SONDERZAHLUNG]]&lt;=ZahlungsZeitplan[[#This Row],[ANFANGSSALDO]],ZahlungsZeitplan[[#This Row],[ANFANGSSALDO]]-ZahlungsZeitplan[[#This Row],[KAPITAL]],0),"")</f>
        <v>46942.541813424534</v>
      </c>
      <c r="K189" s="195">
        <f ca="1">IF(ZahlungsZeitplan[[#This Row],['#]]&lt;&gt;"",SUM(INDEX(ZahlungsZeitplan[ZINSEN],1,1):ZahlungsZeitplan[[#This Row],[ZINSEN]]),"")</f>
        <v>26659.591103210816</v>
      </c>
    </row>
    <row r="190" spans="2:11">
      <c r="B190" s="193">
        <f ca="1">IF(DarlehenIstGut,IF(ROW()-ROW(ZahlungsZeitplan[[#Headers],['#]])&gt;PlanmäßigeAnzahlZahlungen,"",ROW()-ROW(ZahlungsZeitplan[[#Headers],['#]])),"")</f>
        <v>177</v>
      </c>
      <c r="C190" s="194">
        <f ca="1">IF(ZahlungsZeitplan[[#This Row],['#]]&lt;&gt;"",EOMONTH(DarlehensAnfangsDatum,ROW(ZahlungsZeitplan[[#This Row],['#]])-ROW(ZahlungsZeitplan[[#Headers],['#]])-2)+DAY(DarlehensAnfangsDatum),"")</f>
        <v>50682</v>
      </c>
      <c r="D190" s="195">
        <f ca="1">IF(ZahlungsZeitplan[[#This Row],['#]]&lt;&gt;"",IF(ROW()-ROW(ZahlungsZeitplan[[#Headers],[ANFANGSSALDO]])=1,DarlehensBetrag,INDEX(ZahlungsZeitplan[ENDSALDO],ROW()-ROW(ZahlungsZeitplan[[#Headers],[ANFANGSSALDO]])-1)),"")</f>
        <v>46942.541813424534</v>
      </c>
      <c r="E190" s="195">
        <f ca="1">IF(ZahlungsZeitplan[[#This Row],['#]]&lt;&gt;"",PlanmäßigeZahlung,"")</f>
        <v>645.29573460105871</v>
      </c>
      <c r="F19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0" s="195">
        <f ca="1">IF(ZahlungsZeitplan[[#This Row],['#]]&lt;&gt;"",ZahlungsZeitplan[[#This Row],[GESAMTZAHLUNG]]-ZahlungsZeitplan[[#This Row],[ZINSEN]],"")</f>
        <v>489.21178307142213</v>
      </c>
      <c r="I190" s="195">
        <f ca="1">IF(ZahlungsZeitplan[[#This Row],['#]]&lt;=($D$8*12),IF(ZahlungsZeitplan[[#This Row],['#]]&lt;&gt;"",ZahlungsZeitplan[[#This Row],[ANFANGSSALDO]]*(ZinsSatz/ZahlungenProJahr),""),IF(ZahlungsZeitplan[[#This Row],['#]]&lt;&gt;"",ZahlungsZeitplan[[#This Row],[ANFANGSSALDO]]*((ZinsSatz+$D$9)/ZahlungenProJahr),""))</f>
        <v>156.08395152963658</v>
      </c>
      <c r="J190" s="195">
        <f ca="1">IF(ZahlungsZeitplan[[#This Row],['#]]&lt;&gt;"",IF(ZahlungsZeitplan[[#This Row],[Zahlungen (Plan)]]+ZahlungsZeitplan[[#This Row],[SONDERZAHLUNG]]&lt;=ZahlungsZeitplan[[#This Row],[ANFANGSSALDO]],ZahlungsZeitplan[[#This Row],[ANFANGSSALDO]]-ZahlungsZeitplan[[#This Row],[KAPITAL]],0),"")</f>
        <v>46453.330030353114</v>
      </c>
      <c r="K190" s="195">
        <f ca="1">IF(ZahlungsZeitplan[[#This Row],['#]]&lt;&gt;"",SUM(INDEX(ZahlungsZeitplan[ZINSEN],1,1):ZahlungsZeitplan[[#This Row],[ZINSEN]]),"")</f>
        <v>26815.675054740452</v>
      </c>
    </row>
    <row r="191" spans="2:11">
      <c r="B191" s="193">
        <f ca="1">IF(DarlehenIstGut,IF(ROW()-ROW(ZahlungsZeitplan[[#Headers],['#]])&gt;PlanmäßigeAnzahlZahlungen,"",ROW()-ROW(ZahlungsZeitplan[[#Headers],['#]])),"")</f>
        <v>178</v>
      </c>
      <c r="C191" s="194">
        <f ca="1">IF(ZahlungsZeitplan[[#This Row],['#]]&lt;&gt;"",EOMONTH(DarlehensAnfangsDatum,ROW(ZahlungsZeitplan[[#This Row],['#]])-ROW(ZahlungsZeitplan[[#Headers],['#]])-2)+DAY(DarlehensAnfangsDatum),"")</f>
        <v>50713</v>
      </c>
      <c r="D191" s="195">
        <f ca="1">IF(ZahlungsZeitplan[[#This Row],['#]]&lt;&gt;"",IF(ROW()-ROW(ZahlungsZeitplan[[#Headers],[ANFANGSSALDO]])=1,DarlehensBetrag,INDEX(ZahlungsZeitplan[ENDSALDO],ROW()-ROW(ZahlungsZeitplan[[#Headers],[ANFANGSSALDO]])-1)),"")</f>
        <v>46453.330030353114</v>
      </c>
      <c r="E191" s="195">
        <f ca="1">IF(ZahlungsZeitplan[[#This Row],['#]]&lt;&gt;"",PlanmäßigeZahlung,"")</f>
        <v>645.29573460105871</v>
      </c>
      <c r="F19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1" s="195">
        <f ca="1">IF(ZahlungsZeitplan[[#This Row],['#]]&lt;&gt;"",ZahlungsZeitplan[[#This Row],[GESAMTZAHLUNG]]-ZahlungsZeitplan[[#This Row],[ZINSEN]],"")</f>
        <v>490.83841225013458</v>
      </c>
      <c r="I191" s="195">
        <f ca="1">IF(ZahlungsZeitplan[[#This Row],['#]]&lt;=($D$8*12),IF(ZahlungsZeitplan[[#This Row],['#]]&lt;&gt;"",ZahlungsZeitplan[[#This Row],[ANFANGSSALDO]]*(ZinsSatz/ZahlungenProJahr),""),IF(ZahlungsZeitplan[[#This Row],['#]]&lt;&gt;"",ZahlungsZeitplan[[#This Row],[ANFANGSSALDO]]*((ZinsSatz+$D$9)/ZahlungenProJahr),""))</f>
        <v>154.45732235092413</v>
      </c>
      <c r="J191" s="195">
        <f ca="1">IF(ZahlungsZeitplan[[#This Row],['#]]&lt;&gt;"",IF(ZahlungsZeitplan[[#This Row],[Zahlungen (Plan)]]+ZahlungsZeitplan[[#This Row],[SONDERZAHLUNG]]&lt;=ZahlungsZeitplan[[#This Row],[ANFANGSSALDO]],ZahlungsZeitplan[[#This Row],[ANFANGSSALDO]]-ZahlungsZeitplan[[#This Row],[KAPITAL]],0),"")</f>
        <v>45962.491618102977</v>
      </c>
      <c r="K191" s="195">
        <f ca="1">IF(ZahlungsZeitplan[[#This Row],['#]]&lt;&gt;"",SUM(INDEX(ZahlungsZeitplan[ZINSEN],1,1):ZahlungsZeitplan[[#This Row],[ZINSEN]]),"")</f>
        <v>26970.132377091377</v>
      </c>
    </row>
    <row r="192" spans="2:11">
      <c r="B192" s="193">
        <f ca="1">IF(DarlehenIstGut,IF(ROW()-ROW(ZahlungsZeitplan[[#Headers],['#]])&gt;PlanmäßigeAnzahlZahlungen,"",ROW()-ROW(ZahlungsZeitplan[[#Headers],['#]])),"")</f>
        <v>179</v>
      </c>
      <c r="C192" s="194">
        <f ca="1">IF(ZahlungsZeitplan[[#This Row],['#]]&lt;&gt;"",EOMONTH(DarlehensAnfangsDatum,ROW(ZahlungsZeitplan[[#This Row],['#]])-ROW(ZahlungsZeitplan[[#Headers],['#]])-2)+DAY(DarlehensAnfangsDatum),"")</f>
        <v>50743</v>
      </c>
      <c r="D192" s="195">
        <f ca="1">IF(ZahlungsZeitplan[[#This Row],['#]]&lt;&gt;"",IF(ROW()-ROW(ZahlungsZeitplan[[#Headers],[ANFANGSSALDO]])=1,DarlehensBetrag,INDEX(ZahlungsZeitplan[ENDSALDO],ROW()-ROW(ZahlungsZeitplan[[#Headers],[ANFANGSSALDO]])-1)),"")</f>
        <v>45962.491618102977</v>
      </c>
      <c r="E192" s="195">
        <f ca="1">IF(ZahlungsZeitplan[[#This Row],['#]]&lt;&gt;"",PlanmäßigeZahlung,"")</f>
        <v>645.29573460105871</v>
      </c>
      <c r="F19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2" s="195">
        <f ca="1">IF(ZahlungsZeitplan[[#This Row],['#]]&lt;&gt;"",ZahlungsZeitplan[[#This Row],[GESAMTZAHLUNG]]-ZahlungsZeitplan[[#This Row],[ZINSEN]],"")</f>
        <v>492.4704499708663</v>
      </c>
      <c r="I192" s="195">
        <f ca="1">IF(ZahlungsZeitplan[[#This Row],['#]]&lt;=($D$8*12),IF(ZahlungsZeitplan[[#This Row],['#]]&lt;&gt;"",ZahlungsZeitplan[[#This Row],[ANFANGSSALDO]]*(ZinsSatz/ZahlungenProJahr),""),IF(ZahlungsZeitplan[[#This Row],['#]]&lt;&gt;"",ZahlungsZeitplan[[#This Row],[ANFANGSSALDO]]*((ZinsSatz+$D$9)/ZahlungenProJahr),""))</f>
        <v>152.82528463019241</v>
      </c>
      <c r="J192" s="195">
        <f ca="1">IF(ZahlungsZeitplan[[#This Row],['#]]&lt;&gt;"",IF(ZahlungsZeitplan[[#This Row],[Zahlungen (Plan)]]+ZahlungsZeitplan[[#This Row],[SONDERZAHLUNG]]&lt;=ZahlungsZeitplan[[#This Row],[ANFANGSSALDO]],ZahlungsZeitplan[[#This Row],[ANFANGSSALDO]]-ZahlungsZeitplan[[#This Row],[KAPITAL]],0),"")</f>
        <v>45470.021168132109</v>
      </c>
      <c r="K192" s="195">
        <f ca="1">IF(ZahlungsZeitplan[[#This Row],['#]]&lt;&gt;"",SUM(INDEX(ZahlungsZeitplan[ZINSEN],1,1):ZahlungsZeitplan[[#This Row],[ZINSEN]]),"")</f>
        <v>27122.957661721568</v>
      </c>
    </row>
    <row r="193" spans="2:11">
      <c r="B193" s="193">
        <f ca="1">IF(DarlehenIstGut,IF(ROW()-ROW(ZahlungsZeitplan[[#Headers],['#]])&gt;PlanmäßigeAnzahlZahlungen,"",ROW()-ROW(ZahlungsZeitplan[[#Headers],['#]])),"")</f>
        <v>180</v>
      </c>
      <c r="C193" s="194">
        <f ca="1">IF(ZahlungsZeitplan[[#This Row],['#]]&lt;&gt;"",EOMONTH(DarlehensAnfangsDatum,ROW(ZahlungsZeitplan[[#This Row],['#]])-ROW(ZahlungsZeitplan[[#Headers],['#]])-2)+DAY(DarlehensAnfangsDatum),"")</f>
        <v>50774</v>
      </c>
      <c r="D193" s="195">
        <f ca="1">IF(ZahlungsZeitplan[[#This Row],['#]]&lt;&gt;"",IF(ROW()-ROW(ZahlungsZeitplan[[#Headers],[ANFANGSSALDO]])=1,DarlehensBetrag,INDEX(ZahlungsZeitplan[ENDSALDO],ROW()-ROW(ZahlungsZeitplan[[#Headers],[ANFANGSSALDO]])-1)),"")</f>
        <v>45470.021168132109</v>
      </c>
      <c r="E193" s="195">
        <f ca="1">IF(ZahlungsZeitplan[[#This Row],['#]]&lt;&gt;"",PlanmäßigeZahlung,"")</f>
        <v>645.29573460105871</v>
      </c>
      <c r="F19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3" s="195">
        <f ca="1">IF(ZahlungsZeitplan[[#This Row],['#]]&lt;&gt;"",ZahlungsZeitplan[[#This Row],[GESAMTZAHLUNG]]-ZahlungsZeitplan[[#This Row],[ZINSEN]],"")</f>
        <v>494.10791421701947</v>
      </c>
      <c r="I193" s="195">
        <f ca="1">IF(ZahlungsZeitplan[[#This Row],['#]]&lt;=($D$8*12),IF(ZahlungsZeitplan[[#This Row],['#]]&lt;&gt;"",ZahlungsZeitplan[[#This Row],[ANFANGSSALDO]]*(ZinsSatz/ZahlungenProJahr),""),IF(ZahlungsZeitplan[[#This Row],['#]]&lt;&gt;"",ZahlungsZeitplan[[#This Row],[ANFANGSSALDO]]*((ZinsSatz+$D$9)/ZahlungenProJahr),""))</f>
        <v>151.18782038403927</v>
      </c>
      <c r="J193" s="195">
        <f ca="1">IF(ZahlungsZeitplan[[#This Row],['#]]&lt;&gt;"",IF(ZahlungsZeitplan[[#This Row],[Zahlungen (Plan)]]+ZahlungsZeitplan[[#This Row],[SONDERZAHLUNG]]&lt;=ZahlungsZeitplan[[#This Row],[ANFANGSSALDO]],ZahlungsZeitplan[[#This Row],[ANFANGSSALDO]]-ZahlungsZeitplan[[#This Row],[KAPITAL]],0),"")</f>
        <v>44975.913253915089</v>
      </c>
      <c r="K193" s="195">
        <f ca="1">IF(ZahlungsZeitplan[[#This Row],['#]]&lt;&gt;"",SUM(INDEX(ZahlungsZeitplan[ZINSEN],1,1):ZahlungsZeitplan[[#This Row],[ZINSEN]]),"")</f>
        <v>27274.145482105607</v>
      </c>
    </row>
    <row r="194" spans="2:11">
      <c r="B194" s="193">
        <f ca="1">IF(DarlehenIstGut,IF(ROW()-ROW(ZahlungsZeitplan[[#Headers],['#]])&gt;PlanmäßigeAnzahlZahlungen,"",ROW()-ROW(ZahlungsZeitplan[[#Headers],['#]])),"")</f>
        <v>181</v>
      </c>
      <c r="C194" s="194">
        <f ca="1">IF(ZahlungsZeitplan[[#This Row],['#]]&lt;&gt;"",EOMONTH(DarlehensAnfangsDatum,ROW(ZahlungsZeitplan[[#This Row],['#]])-ROW(ZahlungsZeitplan[[#Headers],['#]])-2)+DAY(DarlehensAnfangsDatum),"")</f>
        <v>50805</v>
      </c>
      <c r="D194" s="195">
        <f ca="1">IF(ZahlungsZeitplan[[#This Row],['#]]&lt;&gt;"",IF(ROW()-ROW(ZahlungsZeitplan[[#Headers],[ANFANGSSALDO]])=1,DarlehensBetrag,INDEX(ZahlungsZeitplan[ENDSALDO],ROW()-ROW(ZahlungsZeitplan[[#Headers],[ANFANGSSALDO]])-1)),"")</f>
        <v>44975.913253915089</v>
      </c>
      <c r="E194" s="195">
        <f ca="1">IF(ZahlungsZeitplan[[#This Row],['#]]&lt;&gt;"",PlanmäßigeZahlung,"")</f>
        <v>645.29573460105871</v>
      </c>
      <c r="F19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4" s="195">
        <f ca="1">IF(ZahlungsZeitplan[[#This Row],['#]]&lt;&gt;"",ZahlungsZeitplan[[#This Row],[GESAMTZAHLUNG]]-ZahlungsZeitplan[[#This Row],[ZINSEN]],"")</f>
        <v>495.75082303179101</v>
      </c>
      <c r="I194" s="195">
        <f ca="1">IF(ZahlungsZeitplan[[#This Row],['#]]&lt;=($D$8*12),IF(ZahlungsZeitplan[[#This Row],['#]]&lt;&gt;"",ZahlungsZeitplan[[#This Row],[ANFANGSSALDO]]*(ZinsSatz/ZahlungenProJahr),""),IF(ZahlungsZeitplan[[#This Row],['#]]&lt;&gt;"",ZahlungsZeitplan[[#This Row],[ANFANGSSALDO]]*((ZinsSatz+$D$9)/ZahlungenProJahr),""))</f>
        <v>149.54491156926767</v>
      </c>
      <c r="J194" s="195">
        <f ca="1">IF(ZahlungsZeitplan[[#This Row],['#]]&lt;&gt;"",IF(ZahlungsZeitplan[[#This Row],[Zahlungen (Plan)]]+ZahlungsZeitplan[[#This Row],[SONDERZAHLUNG]]&lt;=ZahlungsZeitplan[[#This Row],[ANFANGSSALDO]],ZahlungsZeitplan[[#This Row],[ANFANGSSALDO]]-ZahlungsZeitplan[[#This Row],[KAPITAL]],0),"")</f>
        <v>44480.162430883298</v>
      </c>
      <c r="K194" s="195">
        <f ca="1">IF(ZahlungsZeitplan[[#This Row],['#]]&lt;&gt;"",SUM(INDEX(ZahlungsZeitplan[ZINSEN],1,1):ZahlungsZeitplan[[#This Row],[ZINSEN]]),"")</f>
        <v>27423.690393674875</v>
      </c>
    </row>
    <row r="195" spans="2:11">
      <c r="B195" s="193">
        <f ca="1">IF(DarlehenIstGut,IF(ROW()-ROW(ZahlungsZeitplan[[#Headers],['#]])&gt;PlanmäßigeAnzahlZahlungen,"",ROW()-ROW(ZahlungsZeitplan[[#Headers],['#]])),"")</f>
        <v>182</v>
      </c>
      <c r="C195" s="194">
        <f ca="1">IF(ZahlungsZeitplan[[#This Row],['#]]&lt;&gt;"",EOMONTH(DarlehensAnfangsDatum,ROW(ZahlungsZeitplan[[#This Row],['#]])-ROW(ZahlungsZeitplan[[#Headers],['#]])-2)+DAY(DarlehensAnfangsDatum),"")</f>
        <v>50833</v>
      </c>
      <c r="D195" s="195">
        <f ca="1">IF(ZahlungsZeitplan[[#This Row],['#]]&lt;&gt;"",IF(ROW()-ROW(ZahlungsZeitplan[[#Headers],[ANFANGSSALDO]])=1,DarlehensBetrag,INDEX(ZahlungsZeitplan[ENDSALDO],ROW()-ROW(ZahlungsZeitplan[[#Headers],[ANFANGSSALDO]])-1)),"")</f>
        <v>44480.162430883298</v>
      </c>
      <c r="E195" s="195">
        <f ca="1">IF(ZahlungsZeitplan[[#This Row],['#]]&lt;&gt;"",PlanmäßigeZahlung,"")</f>
        <v>645.29573460105871</v>
      </c>
      <c r="F19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5" s="195">
        <f ca="1">IF(ZahlungsZeitplan[[#This Row],['#]]&lt;&gt;"",ZahlungsZeitplan[[#This Row],[GESAMTZAHLUNG]]-ZahlungsZeitplan[[#This Row],[ZINSEN]],"")</f>
        <v>497.3991945183717</v>
      </c>
      <c r="I195" s="195">
        <f ca="1">IF(ZahlungsZeitplan[[#This Row],['#]]&lt;=($D$8*12),IF(ZahlungsZeitplan[[#This Row],['#]]&lt;&gt;"",ZahlungsZeitplan[[#This Row],[ANFANGSSALDO]]*(ZinsSatz/ZahlungenProJahr),""),IF(ZahlungsZeitplan[[#This Row],['#]]&lt;&gt;"",ZahlungsZeitplan[[#This Row],[ANFANGSSALDO]]*((ZinsSatz+$D$9)/ZahlungenProJahr),""))</f>
        <v>147.89654008268698</v>
      </c>
      <c r="J195" s="195">
        <f ca="1">IF(ZahlungsZeitplan[[#This Row],['#]]&lt;&gt;"",IF(ZahlungsZeitplan[[#This Row],[Zahlungen (Plan)]]+ZahlungsZeitplan[[#This Row],[SONDERZAHLUNG]]&lt;=ZahlungsZeitplan[[#This Row],[ANFANGSSALDO]],ZahlungsZeitplan[[#This Row],[ANFANGSSALDO]]-ZahlungsZeitplan[[#This Row],[KAPITAL]],0),"")</f>
        <v>43982.763236364925</v>
      </c>
      <c r="K195" s="195">
        <f ca="1">IF(ZahlungsZeitplan[[#This Row],['#]]&lt;&gt;"",SUM(INDEX(ZahlungsZeitplan[ZINSEN],1,1):ZahlungsZeitplan[[#This Row],[ZINSEN]]),"")</f>
        <v>27571.58693375756</v>
      </c>
    </row>
    <row r="196" spans="2:11">
      <c r="B196" s="193">
        <f ca="1">IF(DarlehenIstGut,IF(ROW()-ROW(ZahlungsZeitplan[[#Headers],['#]])&gt;PlanmäßigeAnzahlZahlungen,"",ROW()-ROW(ZahlungsZeitplan[[#Headers],['#]])),"")</f>
        <v>183</v>
      </c>
      <c r="C196" s="194">
        <f ca="1">IF(ZahlungsZeitplan[[#This Row],['#]]&lt;&gt;"",EOMONTH(DarlehensAnfangsDatum,ROW(ZahlungsZeitplan[[#This Row],['#]])-ROW(ZahlungsZeitplan[[#Headers],['#]])-2)+DAY(DarlehensAnfangsDatum),"")</f>
        <v>50864</v>
      </c>
      <c r="D196" s="195">
        <f ca="1">IF(ZahlungsZeitplan[[#This Row],['#]]&lt;&gt;"",IF(ROW()-ROW(ZahlungsZeitplan[[#Headers],[ANFANGSSALDO]])=1,DarlehensBetrag,INDEX(ZahlungsZeitplan[ENDSALDO],ROW()-ROW(ZahlungsZeitplan[[#Headers],[ANFANGSSALDO]])-1)),"")</f>
        <v>43982.763236364925</v>
      </c>
      <c r="E196" s="195">
        <f ca="1">IF(ZahlungsZeitplan[[#This Row],['#]]&lt;&gt;"",PlanmäßigeZahlung,"")</f>
        <v>645.29573460105871</v>
      </c>
      <c r="F19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6" s="195">
        <f ca="1">IF(ZahlungsZeitplan[[#This Row],['#]]&lt;&gt;"",ZahlungsZeitplan[[#This Row],[GESAMTZAHLUNG]]-ZahlungsZeitplan[[#This Row],[ZINSEN]],"")</f>
        <v>499.05304684014533</v>
      </c>
      <c r="I196" s="195">
        <f ca="1">IF(ZahlungsZeitplan[[#This Row],['#]]&lt;=($D$8*12),IF(ZahlungsZeitplan[[#This Row],['#]]&lt;&gt;"",ZahlungsZeitplan[[#This Row],[ANFANGSSALDO]]*(ZinsSatz/ZahlungenProJahr),""),IF(ZahlungsZeitplan[[#This Row],['#]]&lt;&gt;"",ZahlungsZeitplan[[#This Row],[ANFANGSSALDO]]*((ZinsSatz+$D$9)/ZahlungenProJahr),""))</f>
        <v>146.24268776091338</v>
      </c>
      <c r="J196" s="195">
        <f ca="1">IF(ZahlungsZeitplan[[#This Row],['#]]&lt;&gt;"",IF(ZahlungsZeitplan[[#This Row],[Zahlungen (Plan)]]+ZahlungsZeitplan[[#This Row],[SONDERZAHLUNG]]&lt;=ZahlungsZeitplan[[#This Row],[ANFANGSSALDO]],ZahlungsZeitplan[[#This Row],[ANFANGSSALDO]]-ZahlungsZeitplan[[#This Row],[KAPITAL]],0),"")</f>
        <v>43483.710189524776</v>
      </c>
      <c r="K196" s="195">
        <f ca="1">IF(ZahlungsZeitplan[[#This Row],['#]]&lt;&gt;"",SUM(INDEX(ZahlungsZeitplan[ZINSEN],1,1):ZahlungsZeitplan[[#This Row],[ZINSEN]]),"")</f>
        <v>27717.829621518475</v>
      </c>
    </row>
    <row r="197" spans="2:11">
      <c r="B197" s="193">
        <f ca="1">IF(DarlehenIstGut,IF(ROW()-ROW(ZahlungsZeitplan[[#Headers],['#]])&gt;PlanmäßigeAnzahlZahlungen,"",ROW()-ROW(ZahlungsZeitplan[[#Headers],['#]])),"")</f>
        <v>184</v>
      </c>
      <c r="C197" s="194">
        <f ca="1">IF(ZahlungsZeitplan[[#This Row],['#]]&lt;&gt;"",EOMONTH(DarlehensAnfangsDatum,ROW(ZahlungsZeitplan[[#This Row],['#]])-ROW(ZahlungsZeitplan[[#Headers],['#]])-2)+DAY(DarlehensAnfangsDatum),"")</f>
        <v>50894</v>
      </c>
      <c r="D197" s="195">
        <f ca="1">IF(ZahlungsZeitplan[[#This Row],['#]]&lt;&gt;"",IF(ROW()-ROW(ZahlungsZeitplan[[#Headers],[ANFANGSSALDO]])=1,DarlehensBetrag,INDEX(ZahlungsZeitplan[ENDSALDO],ROW()-ROW(ZahlungsZeitplan[[#Headers],[ANFANGSSALDO]])-1)),"")</f>
        <v>43483.710189524776</v>
      </c>
      <c r="E197" s="195">
        <f ca="1">IF(ZahlungsZeitplan[[#This Row],['#]]&lt;&gt;"",PlanmäßigeZahlung,"")</f>
        <v>645.29573460105871</v>
      </c>
      <c r="F19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7" s="195">
        <f ca="1">IF(ZahlungsZeitplan[[#This Row],['#]]&lt;&gt;"",ZahlungsZeitplan[[#This Row],[GESAMTZAHLUNG]]-ZahlungsZeitplan[[#This Row],[ZINSEN]],"")</f>
        <v>500.71239822088882</v>
      </c>
      <c r="I197" s="195">
        <f ca="1">IF(ZahlungsZeitplan[[#This Row],['#]]&lt;=($D$8*12),IF(ZahlungsZeitplan[[#This Row],['#]]&lt;&gt;"",ZahlungsZeitplan[[#This Row],[ANFANGSSALDO]]*(ZinsSatz/ZahlungenProJahr),""),IF(ZahlungsZeitplan[[#This Row],['#]]&lt;&gt;"",ZahlungsZeitplan[[#This Row],[ANFANGSSALDO]]*((ZinsSatz+$D$9)/ZahlungenProJahr),""))</f>
        <v>144.5833363801699</v>
      </c>
      <c r="J197" s="195">
        <f ca="1">IF(ZahlungsZeitplan[[#This Row],['#]]&lt;&gt;"",IF(ZahlungsZeitplan[[#This Row],[Zahlungen (Plan)]]+ZahlungsZeitplan[[#This Row],[SONDERZAHLUNG]]&lt;=ZahlungsZeitplan[[#This Row],[ANFANGSSALDO]],ZahlungsZeitplan[[#This Row],[ANFANGSSALDO]]-ZahlungsZeitplan[[#This Row],[KAPITAL]],0),"")</f>
        <v>42982.997791303889</v>
      </c>
      <c r="K197" s="195">
        <f ca="1">IF(ZahlungsZeitplan[[#This Row],['#]]&lt;&gt;"",SUM(INDEX(ZahlungsZeitplan[ZINSEN],1,1):ZahlungsZeitplan[[#This Row],[ZINSEN]]),"")</f>
        <v>27862.412957898643</v>
      </c>
    </row>
    <row r="198" spans="2:11">
      <c r="B198" s="193">
        <f ca="1">IF(DarlehenIstGut,IF(ROW()-ROW(ZahlungsZeitplan[[#Headers],['#]])&gt;PlanmäßigeAnzahlZahlungen,"",ROW()-ROW(ZahlungsZeitplan[[#Headers],['#]])),"")</f>
        <v>185</v>
      </c>
      <c r="C198" s="194">
        <f ca="1">IF(ZahlungsZeitplan[[#This Row],['#]]&lt;&gt;"",EOMONTH(DarlehensAnfangsDatum,ROW(ZahlungsZeitplan[[#This Row],['#]])-ROW(ZahlungsZeitplan[[#Headers],['#]])-2)+DAY(DarlehensAnfangsDatum),"")</f>
        <v>50925</v>
      </c>
      <c r="D198" s="195">
        <f ca="1">IF(ZahlungsZeitplan[[#This Row],['#]]&lt;&gt;"",IF(ROW()-ROW(ZahlungsZeitplan[[#Headers],[ANFANGSSALDO]])=1,DarlehensBetrag,INDEX(ZahlungsZeitplan[ENDSALDO],ROW()-ROW(ZahlungsZeitplan[[#Headers],[ANFANGSSALDO]])-1)),"")</f>
        <v>42982.997791303889</v>
      </c>
      <c r="E198" s="195">
        <f ca="1">IF(ZahlungsZeitplan[[#This Row],['#]]&lt;&gt;"",PlanmäßigeZahlung,"")</f>
        <v>645.29573460105871</v>
      </c>
      <c r="F19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8" s="195">
        <f ca="1">IF(ZahlungsZeitplan[[#This Row],['#]]&lt;&gt;"",ZahlungsZeitplan[[#This Row],[GESAMTZAHLUNG]]-ZahlungsZeitplan[[#This Row],[ZINSEN]],"")</f>
        <v>502.37726694497326</v>
      </c>
      <c r="I198" s="195">
        <f ca="1">IF(ZahlungsZeitplan[[#This Row],['#]]&lt;=($D$8*12),IF(ZahlungsZeitplan[[#This Row],['#]]&lt;&gt;"",ZahlungsZeitplan[[#This Row],[ANFANGSSALDO]]*(ZinsSatz/ZahlungenProJahr),""),IF(ZahlungsZeitplan[[#This Row],['#]]&lt;&gt;"",ZahlungsZeitplan[[#This Row],[ANFANGSSALDO]]*((ZinsSatz+$D$9)/ZahlungenProJahr),""))</f>
        <v>142.91846765608545</v>
      </c>
      <c r="J198" s="195">
        <f ca="1">IF(ZahlungsZeitplan[[#This Row],['#]]&lt;&gt;"",IF(ZahlungsZeitplan[[#This Row],[Zahlungen (Plan)]]+ZahlungsZeitplan[[#This Row],[SONDERZAHLUNG]]&lt;=ZahlungsZeitplan[[#This Row],[ANFANGSSALDO]],ZahlungsZeitplan[[#This Row],[ANFANGSSALDO]]-ZahlungsZeitplan[[#This Row],[KAPITAL]],0),"")</f>
        <v>42480.620524358914</v>
      </c>
      <c r="K198" s="195">
        <f ca="1">IF(ZahlungsZeitplan[[#This Row],['#]]&lt;&gt;"",SUM(INDEX(ZahlungsZeitplan[ZINSEN],1,1):ZahlungsZeitplan[[#This Row],[ZINSEN]]),"")</f>
        <v>28005.33142555473</v>
      </c>
    </row>
    <row r="199" spans="2:11">
      <c r="B199" s="193">
        <f ca="1">IF(DarlehenIstGut,IF(ROW()-ROW(ZahlungsZeitplan[[#Headers],['#]])&gt;PlanmäßigeAnzahlZahlungen,"",ROW()-ROW(ZahlungsZeitplan[[#Headers],['#]])),"")</f>
        <v>186</v>
      </c>
      <c r="C199" s="194">
        <f ca="1">IF(ZahlungsZeitplan[[#This Row],['#]]&lt;&gt;"",EOMONTH(DarlehensAnfangsDatum,ROW(ZahlungsZeitplan[[#This Row],['#]])-ROW(ZahlungsZeitplan[[#Headers],['#]])-2)+DAY(DarlehensAnfangsDatum),"")</f>
        <v>50955</v>
      </c>
      <c r="D199" s="195">
        <f ca="1">IF(ZahlungsZeitplan[[#This Row],['#]]&lt;&gt;"",IF(ROW()-ROW(ZahlungsZeitplan[[#Headers],[ANFANGSSALDO]])=1,DarlehensBetrag,INDEX(ZahlungsZeitplan[ENDSALDO],ROW()-ROW(ZahlungsZeitplan[[#Headers],[ANFANGSSALDO]])-1)),"")</f>
        <v>42480.620524358914</v>
      </c>
      <c r="E199" s="195">
        <f ca="1">IF(ZahlungsZeitplan[[#This Row],['#]]&lt;&gt;"",PlanmäßigeZahlung,"")</f>
        <v>645.29573460105871</v>
      </c>
      <c r="F19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19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199" s="195">
        <f ca="1">IF(ZahlungsZeitplan[[#This Row],['#]]&lt;&gt;"",ZahlungsZeitplan[[#This Row],[GESAMTZAHLUNG]]-ZahlungsZeitplan[[#This Row],[ZINSEN]],"")</f>
        <v>504.04767135756532</v>
      </c>
      <c r="I199" s="195">
        <f ca="1">IF(ZahlungsZeitplan[[#This Row],['#]]&lt;=($D$8*12),IF(ZahlungsZeitplan[[#This Row],['#]]&lt;&gt;"",ZahlungsZeitplan[[#This Row],[ANFANGSSALDO]]*(ZinsSatz/ZahlungenProJahr),""),IF(ZahlungsZeitplan[[#This Row],['#]]&lt;&gt;"",ZahlungsZeitplan[[#This Row],[ANFANGSSALDO]]*((ZinsSatz+$D$9)/ZahlungenProJahr),""))</f>
        <v>141.24806324349339</v>
      </c>
      <c r="J199" s="195">
        <f ca="1">IF(ZahlungsZeitplan[[#This Row],['#]]&lt;&gt;"",IF(ZahlungsZeitplan[[#This Row],[Zahlungen (Plan)]]+ZahlungsZeitplan[[#This Row],[SONDERZAHLUNG]]&lt;=ZahlungsZeitplan[[#This Row],[ANFANGSSALDO]],ZahlungsZeitplan[[#This Row],[ANFANGSSALDO]]-ZahlungsZeitplan[[#This Row],[KAPITAL]],0),"")</f>
        <v>41976.572853001351</v>
      </c>
      <c r="K199" s="195">
        <f ca="1">IF(ZahlungsZeitplan[[#This Row],['#]]&lt;&gt;"",SUM(INDEX(ZahlungsZeitplan[ZINSEN],1,1):ZahlungsZeitplan[[#This Row],[ZINSEN]]),"")</f>
        <v>28146.579488798223</v>
      </c>
    </row>
    <row r="200" spans="2:11">
      <c r="B200" s="193">
        <f ca="1">IF(DarlehenIstGut,IF(ROW()-ROW(ZahlungsZeitplan[[#Headers],['#]])&gt;PlanmäßigeAnzahlZahlungen,"",ROW()-ROW(ZahlungsZeitplan[[#Headers],['#]])),"")</f>
        <v>187</v>
      </c>
      <c r="C200" s="194">
        <f ca="1">IF(ZahlungsZeitplan[[#This Row],['#]]&lt;&gt;"",EOMONTH(DarlehensAnfangsDatum,ROW(ZahlungsZeitplan[[#This Row],['#]])-ROW(ZahlungsZeitplan[[#Headers],['#]])-2)+DAY(DarlehensAnfangsDatum),"")</f>
        <v>50986</v>
      </c>
      <c r="D200" s="195">
        <f ca="1">IF(ZahlungsZeitplan[[#This Row],['#]]&lt;&gt;"",IF(ROW()-ROW(ZahlungsZeitplan[[#Headers],[ANFANGSSALDO]])=1,DarlehensBetrag,INDEX(ZahlungsZeitplan[ENDSALDO],ROW()-ROW(ZahlungsZeitplan[[#Headers],[ANFANGSSALDO]])-1)),"")</f>
        <v>41976.572853001351</v>
      </c>
      <c r="E200" s="195">
        <f ca="1">IF(ZahlungsZeitplan[[#This Row],['#]]&lt;&gt;"",PlanmäßigeZahlung,"")</f>
        <v>645.29573460105871</v>
      </c>
      <c r="F20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0" s="195">
        <f ca="1">IF(ZahlungsZeitplan[[#This Row],['#]]&lt;&gt;"",ZahlungsZeitplan[[#This Row],[GESAMTZAHLUNG]]-ZahlungsZeitplan[[#This Row],[ZINSEN]],"")</f>
        <v>505.72362986482921</v>
      </c>
      <c r="I200" s="195">
        <f ca="1">IF(ZahlungsZeitplan[[#This Row],['#]]&lt;=($D$8*12),IF(ZahlungsZeitplan[[#This Row],['#]]&lt;&gt;"",ZahlungsZeitplan[[#This Row],[ANFANGSSALDO]]*(ZinsSatz/ZahlungenProJahr),""),IF(ZahlungsZeitplan[[#This Row],['#]]&lt;&gt;"",ZahlungsZeitplan[[#This Row],[ANFANGSSALDO]]*((ZinsSatz+$D$9)/ZahlungenProJahr),""))</f>
        <v>139.57210473622951</v>
      </c>
      <c r="J200" s="195">
        <f ca="1">IF(ZahlungsZeitplan[[#This Row],['#]]&lt;&gt;"",IF(ZahlungsZeitplan[[#This Row],[Zahlungen (Plan)]]+ZahlungsZeitplan[[#This Row],[SONDERZAHLUNG]]&lt;=ZahlungsZeitplan[[#This Row],[ANFANGSSALDO]],ZahlungsZeitplan[[#This Row],[ANFANGSSALDO]]-ZahlungsZeitplan[[#This Row],[KAPITAL]],0),"")</f>
        <v>41470.849223136524</v>
      </c>
      <c r="K200" s="195">
        <f ca="1">IF(ZahlungsZeitplan[[#This Row],['#]]&lt;&gt;"",SUM(INDEX(ZahlungsZeitplan[ZINSEN],1,1):ZahlungsZeitplan[[#This Row],[ZINSEN]]),"")</f>
        <v>28286.151593534454</v>
      </c>
    </row>
    <row r="201" spans="2:11">
      <c r="B201" s="193">
        <f ca="1">IF(DarlehenIstGut,IF(ROW()-ROW(ZahlungsZeitplan[[#Headers],['#]])&gt;PlanmäßigeAnzahlZahlungen,"",ROW()-ROW(ZahlungsZeitplan[[#Headers],['#]])),"")</f>
        <v>188</v>
      </c>
      <c r="C201" s="194">
        <f ca="1">IF(ZahlungsZeitplan[[#This Row],['#]]&lt;&gt;"",EOMONTH(DarlehensAnfangsDatum,ROW(ZahlungsZeitplan[[#This Row],['#]])-ROW(ZahlungsZeitplan[[#Headers],['#]])-2)+DAY(DarlehensAnfangsDatum),"")</f>
        <v>51017</v>
      </c>
      <c r="D201" s="195">
        <f ca="1">IF(ZahlungsZeitplan[[#This Row],['#]]&lt;&gt;"",IF(ROW()-ROW(ZahlungsZeitplan[[#Headers],[ANFANGSSALDO]])=1,DarlehensBetrag,INDEX(ZahlungsZeitplan[ENDSALDO],ROW()-ROW(ZahlungsZeitplan[[#Headers],[ANFANGSSALDO]])-1)),"")</f>
        <v>41470.849223136524</v>
      </c>
      <c r="E201" s="195">
        <f ca="1">IF(ZahlungsZeitplan[[#This Row],['#]]&lt;&gt;"",PlanmäßigeZahlung,"")</f>
        <v>645.29573460105871</v>
      </c>
      <c r="F20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1" s="195">
        <f ca="1">IF(ZahlungsZeitplan[[#This Row],['#]]&lt;&gt;"",ZahlungsZeitplan[[#This Row],[GESAMTZAHLUNG]]-ZahlungsZeitplan[[#This Row],[ZINSEN]],"")</f>
        <v>507.40516093412975</v>
      </c>
      <c r="I201" s="195">
        <f ca="1">IF(ZahlungsZeitplan[[#This Row],['#]]&lt;=($D$8*12),IF(ZahlungsZeitplan[[#This Row],['#]]&lt;&gt;"",ZahlungsZeitplan[[#This Row],[ANFANGSSALDO]]*(ZinsSatz/ZahlungenProJahr),""),IF(ZahlungsZeitplan[[#This Row],['#]]&lt;&gt;"",ZahlungsZeitplan[[#This Row],[ANFANGSSALDO]]*((ZinsSatz+$D$9)/ZahlungenProJahr),""))</f>
        <v>137.89057366692896</v>
      </c>
      <c r="J201" s="195">
        <f ca="1">IF(ZahlungsZeitplan[[#This Row],['#]]&lt;&gt;"",IF(ZahlungsZeitplan[[#This Row],[Zahlungen (Plan)]]+ZahlungsZeitplan[[#This Row],[SONDERZAHLUNG]]&lt;=ZahlungsZeitplan[[#This Row],[ANFANGSSALDO]],ZahlungsZeitplan[[#This Row],[ANFANGSSALDO]]-ZahlungsZeitplan[[#This Row],[KAPITAL]],0),"")</f>
        <v>40963.44406220239</v>
      </c>
      <c r="K201" s="195">
        <f ca="1">IF(ZahlungsZeitplan[[#This Row],['#]]&lt;&gt;"",SUM(INDEX(ZahlungsZeitplan[ZINSEN],1,1):ZahlungsZeitplan[[#This Row],[ZINSEN]]),"")</f>
        <v>28424.042167201384</v>
      </c>
    </row>
    <row r="202" spans="2:11">
      <c r="B202" s="193">
        <f ca="1">IF(DarlehenIstGut,IF(ROW()-ROW(ZahlungsZeitplan[[#Headers],['#]])&gt;PlanmäßigeAnzahlZahlungen,"",ROW()-ROW(ZahlungsZeitplan[[#Headers],['#]])),"")</f>
        <v>189</v>
      </c>
      <c r="C202" s="194">
        <f ca="1">IF(ZahlungsZeitplan[[#This Row],['#]]&lt;&gt;"",EOMONTH(DarlehensAnfangsDatum,ROW(ZahlungsZeitplan[[#This Row],['#]])-ROW(ZahlungsZeitplan[[#Headers],['#]])-2)+DAY(DarlehensAnfangsDatum),"")</f>
        <v>51047</v>
      </c>
      <c r="D202" s="195">
        <f ca="1">IF(ZahlungsZeitplan[[#This Row],['#]]&lt;&gt;"",IF(ROW()-ROW(ZahlungsZeitplan[[#Headers],[ANFANGSSALDO]])=1,DarlehensBetrag,INDEX(ZahlungsZeitplan[ENDSALDO],ROW()-ROW(ZahlungsZeitplan[[#Headers],[ANFANGSSALDO]])-1)),"")</f>
        <v>40963.44406220239</v>
      </c>
      <c r="E202" s="195">
        <f ca="1">IF(ZahlungsZeitplan[[#This Row],['#]]&lt;&gt;"",PlanmäßigeZahlung,"")</f>
        <v>645.29573460105871</v>
      </c>
      <c r="F20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2" s="195">
        <f ca="1">IF(ZahlungsZeitplan[[#This Row],['#]]&lt;&gt;"",ZahlungsZeitplan[[#This Row],[GESAMTZAHLUNG]]-ZahlungsZeitplan[[#This Row],[ZINSEN]],"")</f>
        <v>509.09228309423577</v>
      </c>
      <c r="I202" s="195">
        <f ca="1">IF(ZahlungsZeitplan[[#This Row],['#]]&lt;=($D$8*12),IF(ZahlungsZeitplan[[#This Row],['#]]&lt;&gt;"",ZahlungsZeitplan[[#This Row],[ANFANGSSALDO]]*(ZinsSatz/ZahlungenProJahr),""),IF(ZahlungsZeitplan[[#This Row],['#]]&lt;&gt;"",ZahlungsZeitplan[[#This Row],[ANFANGSSALDO]]*((ZinsSatz+$D$9)/ZahlungenProJahr),""))</f>
        <v>136.20345150682297</v>
      </c>
      <c r="J202" s="195">
        <f ca="1">IF(ZahlungsZeitplan[[#This Row],['#]]&lt;&gt;"",IF(ZahlungsZeitplan[[#This Row],[Zahlungen (Plan)]]+ZahlungsZeitplan[[#This Row],[SONDERZAHLUNG]]&lt;=ZahlungsZeitplan[[#This Row],[ANFANGSSALDO]],ZahlungsZeitplan[[#This Row],[ANFANGSSALDO]]-ZahlungsZeitplan[[#This Row],[KAPITAL]],0),"")</f>
        <v>40454.351779108154</v>
      </c>
      <c r="K202" s="195">
        <f ca="1">IF(ZahlungsZeitplan[[#This Row],['#]]&lt;&gt;"",SUM(INDEX(ZahlungsZeitplan[ZINSEN],1,1):ZahlungsZeitplan[[#This Row],[ZINSEN]]),"")</f>
        <v>28560.245618708206</v>
      </c>
    </row>
    <row r="203" spans="2:11">
      <c r="B203" s="193">
        <f ca="1">IF(DarlehenIstGut,IF(ROW()-ROW(ZahlungsZeitplan[[#Headers],['#]])&gt;PlanmäßigeAnzahlZahlungen,"",ROW()-ROW(ZahlungsZeitplan[[#Headers],['#]])),"")</f>
        <v>190</v>
      </c>
      <c r="C203" s="194">
        <f ca="1">IF(ZahlungsZeitplan[[#This Row],['#]]&lt;&gt;"",EOMONTH(DarlehensAnfangsDatum,ROW(ZahlungsZeitplan[[#This Row],['#]])-ROW(ZahlungsZeitplan[[#Headers],['#]])-2)+DAY(DarlehensAnfangsDatum),"")</f>
        <v>51078</v>
      </c>
      <c r="D203" s="195">
        <f ca="1">IF(ZahlungsZeitplan[[#This Row],['#]]&lt;&gt;"",IF(ROW()-ROW(ZahlungsZeitplan[[#Headers],[ANFANGSSALDO]])=1,DarlehensBetrag,INDEX(ZahlungsZeitplan[ENDSALDO],ROW()-ROW(ZahlungsZeitplan[[#Headers],[ANFANGSSALDO]])-1)),"")</f>
        <v>40454.351779108154</v>
      </c>
      <c r="E203" s="195">
        <f ca="1">IF(ZahlungsZeitplan[[#This Row],['#]]&lt;&gt;"",PlanmäßigeZahlung,"")</f>
        <v>645.29573460105871</v>
      </c>
      <c r="F20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3" s="195">
        <f ca="1">IF(ZahlungsZeitplan[[#This Row],['#]]&lt;&gt;"",ZahlungsZeitplan[[#This Row],[GESAMTZAHLUNG]]-ZahlungsZeitplan[[#This Row],[ZINSEN]],"")</f>
        <v>510.78501493552409</v>
      </c>
      <c r="I203" s="195">
        <f ca="1">IF(ZahlungsZeitplan[[#This Row],['#]]&lt;=($D$8*12),IF(ZahlungsZeitplan[[#This Row],['#]]&lt;&gt;"",ZahlungsZeitplan[[#This Row],[ANFANGSSALDO]]*(ZinsSatz/ZahlungenProJahr),""),IF(ZahlungsZeitplan[[#This Row],['#]]&lt;&gt;"",ZahlungsZeitplan[[#This Row],[ANFANGSSALDO]]*((ZinsSatz+$D$9)/ZahlungenProJahr),""))</f>
        <v>134.51071966553462</v>
      </c>
      <c r="J203" s="195">
        <f ca="1">IF(ZahlungsZeitplan[[#This Row],['#]]&lt;&gt;"",IF(ZahlungsZeitplan[[#This Row],[Zahlungen (Plan)]]+ZahlungsZeitplan[[#This Row],[SONDERZAHLUNG]]&lt;=ZahlungsZeitplan[[#This Row],[ANFANGSSALDO]],ZahlungsZeitplan[[#This Row],[ANFANGSSALDO]]-ZahlungsZeitplan[[#This Row],[KAPITAL]],0),"")</f>
        <v>39943.566764172632</v>
      </c>
      <c r="K203" s="195">
        <f ca="1">IF(ZahlungsZeitplan[[#This Row],['#]]&lt;&gt;"",SUM(INDEX(ZahlungsZeitplan[ZINSEN],1,1):ZahlungsZeitplan[[#This Row],[ZINSEN]]),"")</f>
        <v>28694.75633837374</v>
      </c>
    </row>
    <row r="204" spans="2:11">
      <c r="B204" s="193">
        <f ca="1">IF(DarlehenIstGut,IF(ROW()-ROW(ZahlungsZeitplan[[#Headers],['#]])&gt;PlanmäßigeAnzahlZahlungen,"",ROW()-ROW(ZahlungsZeitplan[[#Headers],['#]])),"")</f>
        <v>191</v>
      </c>
      <c r="C204" s="194">
        <f ca="1">IF(ZahlungsZeitplan[[#This Row],['#]]&lt;&gt;"",EOMONTH(DarlehensAnfangsDatum,ROW(ZahlungsZeitplan[[#This Row],['#]])-ROW(ZahlungsZeitplan[[#Headers],['#]])-2)+DAY(DarlehensAnfangsDatum),"")</f>
        <v>51108</v>
      </c>
      <c r="D204" s="195">
        <f ca="1">IF(ZahlungsZeitplan[[#This Row],['#]]&lt;&gt;"",IF(ROW()-ROW(ZahlungsZeitplan[[#Headers],[ANFANGSSALDO]])=1,DarlehensBetrag,INDEX(ZahlungsZeitplan[ENDSALDO],ROW()-ROW(ZahlungsZeitplan[[#Headers],[ANFANGSSALDO]])-1)),"")</f>
        <v>39943.566764172632</v>
      </c>
      <c r="E204" s="195">
        <f ca="1">IF(ZahlungsZeitplan[[#This Row],['#]]&lt;&gt;"",PlanmäßigeZahlung,"")</f>
        <v>645.29573460105871</v>
      </c>
      <c r="F20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4" s="195">
        <f ca="1">IF(ZahlungsZeitplan[[#This Row],['#]]&lt;&gt;"",ZahlungsZeitplan[[#This Row],[GESAMTZAHLUNG]]-ZahlungsZeitplan[[#This Row],[ZINSEN]],"")</f>
        <v>512.48337511018474</v>
      </c>
      <c r="I204" s="195">
        <f ca="1">IF(ZahlungsZeitplan[[#This Row],['#]]&lt;=($D$8*12),IF(ZahlungsZeitplan[[#This Row],['#]]&lt;&gt;"",ZahlungsZeitplan[[#This Row],[ANFANGSSALDO]]*(ZinsSatz/ZahlungenProJahr),""),IF(ZahlungsZeitplan[[#This Row],['#]]&lt;&gt;"",ZahlungsZeitplan[[#This Row],[ANFANGSSALDO]]*((ZinsSatz+$D$9)/ZahlungenProJahr),""))</f>
        <v>132.812359490874</v>
      </c>
      <c r="J204" s="195">
        <f ca="1">IF(ZahlungsZeitplan[[#This Row],['#]]&lt;&gt;"",IF(ZahlungsZeitplan[[#This Row],[Zahlungen (Plan)]]+ZahlungsZeitplan[[#This Row],[SONDERZAHLUNG]]&lt;=ZahlungsZeitplan[[#This Row],[ANFANGSSALDO]],ZahlungsZeitplan[[#This Row],[ANFANGSSALDO]]-ZahlungsZeitplan[[#This Row],[KAPITAL]],0),"")</f>
        <v>39431.083389062449</v>
      </c>
      <c r="K204" s="195">
        <f ca="1">IF(ZahlungsZeitplan[[#This Row],['#]]&lt;&gt;"",SUM(INDEX(ZahlungsZeitplan[ZINSEN],1,1):ZahlungsZeitplan[[#This Row],[ZINSEN]]),"")</f>
        <v>28827.568697864615</v>
      </c>
    </row>
    <row r="205" spans="2:11">
      <c r="B205" s="193">
        <f ca="1">IF(DarlehenIstGut,IF(ROW()-ROW(ZahlungsZeitplan[[#Headers],['#]])&gt;PlanmäßigeAnzahlZahlungen,"",ROW()-ROW(ZahlungsZeitplan[[#Headers],['#]])),"")</f>
        <v>192</v>
      </c>
      <c r="C205" s="194">
        <f ca="1">IF(ZahlungsZeitplan[[#This Row],['#]]&lt;&gt;"",EOMONTH(DarlehensAnfangsDatum,ROW(ZahlungsZeitplan[[#This Row],['#]])-ROW(ZahlungsZeitplan[[#Headers],['#]])-2)+DAY(DarlehensAnfangsDatum),"")</f>
        <v>51139</v>
      </c>
      <c r="D205" s="195">
        <f ca="1">IF(ZahlungsZeitplan[[#This Row],['#]]&lt;&gt;"",IF(ROW()-ROW(ZahlungsZeitplan[[#Headers],[ANFANGSSALDO]])=1,DarlehensBetrag,INDEX(ZahlungsZeitplan[ENDSALDO],ROW()-ROW(ZahlungsZeitplan[[#Headers],[ANFANGSSALDO]])-1)),"")</f>
        <v>39431.083389062449</v>
      </c>
      <c r="E205" s="195">
        <f ca="1">IF(ZahlungsZeitplan[[#This Row],['#]]&lt;&gt;"",PlanmäßigeZahlung,"")</f>
        <v>645.29573460105871</v>
      </c>
      <c r="F20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5" s="195">
        <f ca="1">IF(ZahlungsZeitplan[[#This Row],['#]]&lt;&gt;"",ZahlungsZeitplan[[#This Row],[GESAMTZAHLUNG]]-ZahlungsZeitplan[[#This Row],[ZINSEN]],"")</f>
        <v>514.18738233242607</v>
      </c>
      <c r="I205" s="195">
        <f ca="1">IF(ZahlungsZeitplan[[#This Row],['#]]&lt;=($D$8*12),IF(ZahlungsZeitplan[[#This Row],['#]]&lt;&gt;"",ZahlungsZeitplan[[#This Row],[ANFANGSSALDO]]*(ZinsSatz/ZahlungenProJahr),""),IF(ZahlungsZeitplan[[#This Row],['#]]&lt;&gt;"",ZahlungsZeitplan[[#This Row],[ANFANGSSALDO]]*((ZinsSatz+$D$9)/ZahlungenProJahr),""))</f>
        <v>131.10835226863264</v>
      </c>
      <c r="J205" s="195">
        <f ca="1">IF(ZahlungsZeitplan[[#This Row],['#]]&lt;&gt;"",IF(ZahlungsZeitplan[[#This Row],[Zahlungen (Plan)]]+ZahlungsZeitplan[[#This Row],[SONDERZAHLUNG]]&lt;=ZahlungsZeitplan[[#This Row],[ANFANGSSALDO]],ZahlungsZeitplan[[#This Row],[ANFANGSSALDO]]-ZahlungsZeitplan[[#This Row],[KAPITAL]],0),"")</f>
        <v>38916.896006730021</v>
      </c>
      <c r="K205" s="195">
        <f ca="1">IF(ZahlungsZeitplan[[#This Row],['#]]&lt;&gt;"",SUM(INDEX(ZahlungsZeitplan[ZINSEN],1,1):ZahlungsZeitplan[[#This Row],[ZINSEN]]),"")</f>
        <v>28958.677050133247</v>
      </c>
    </row>
    <row r="206" spans="2:11">
      <c r="B206" s="193">
        <f ca="1">IF(DarlehenIstGut,IF(ROW()-ROW(ZahlungsZeitplan[[#Headers],['#]])&gt;PlanmäßigeAnzahlZahlungen,"",ROW()-ROW(ZahlungsZeitplan[[#Headers],['#]])),"")</f>
        <v>193</v>
      </c>
      <c r="C206" s="194">
        <f ca="1">IF(ZahlungsZeitplan[[#This Row],['#]]&lt;&gt;"",EOMONTH(DarlehensAnfangsDatum,ROW(ZahlungsZeitplan[[#This Row],['#]])-ROW(ZahlungsZeitplan[[#Headers],['#]])-2)+DAY(DarlehensAnfangsDatum),"")</f>
        <v>51170</v>
      </c>
      <c r="D206" s="195">
        <f ca="1">IF(ZahlungsZeitplan[[#This Row],['#]]&lt;&gt;"",IF(ROW()-ROW(ZahlungsZeitplan[[#Headers],[ANFANGSSALDO]])=1,DarlehensBetrag,INDEX(ZahlungsZeitplan[ENDSALDO],ROW()-ROW(ZahlungsZeitplan[[#Headers],[ANFANGSSALDO]])-1)),"")</f>
        <v>38916.896006730021</v>
      </c>
      <c r="E206" s="195">
        <f ca="1">IF(ZahlungsZeitplan[[#This Row],['#]]&lt;&gt;"",PlanmäßigeZahlung,"")</f>
        <v>645.29573460105871</v>
      </c>
      <c r="F20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6" s="195">
        <f ca="1">IF(ZahlungsZeitplan[[#This Row],['#]]&lt;&gt;"",ZahlungsZeitplan[[#This Row],[GESAMTZAHLUNG]]-ZahlungsZeitplan[[#This Row],[ZINSEN]],"")</f>
        <v>515.89705537868144</v>
      </c>
      <c r="I206" s="195">
        <f ca="1">IF(ZahlungsZeitplan[[#This Row],['#]]&lt;=($D$8*12),IF(ZahlungsZeitplan[[#This Row],['#]]&lt;&gt;"",ZahlungsZeitplan[[#This Row],[ANFANGSSALDO]]*(ZinsSatz/ZahlungenProJahr),""),IF(ZahlungsZeitplan[[#This Row],['#]]&lt;&gt;"",ZahlungsZeitplan[[#This Row],[ANFANGSSALDO]]*((ZinsSatz+$D$9)/ZahlungenProJahr),""))</f>
        <v>129.39867922237733</v>
      </c>
      <c r="J206" s="195">
        <f ca="1">IF(ZahlungsZeitplan[[#This Row],['#]]&lt;&gt;"",IF(ZahlungsZeitplan[[#This Row],[Zahlungen (Plan)]]+ZahlungsZeitplan[[#This Row],[SONDERZAHLUNG]]&lt;=ZahlungsZeitplan[[#This Row],[ANFANGSSALDO]],ZahlungsZeitplan[[#This Row],[ANFANGSSALDO]]-ZahlungsZeitplan[[#This Row],[KAPITAL]],0),"")</f>
        <v>38400.998951351343</v>
      </c>
      <c r="K206" s="195">
        <f ca="1">IF(ZahlungsZeitplan[[#This Row],['#]]&lt;&gt;"",SUM(INDEX(ZahlungsZeitplan[ZINSEN],1,1):ZahlungsZeitplan[[#This Row],[ZINSEN]]),"")</f>
        <v>29088.075729355623</v>
      </c>
    </row>
    <row r="207" spans="2:11">
      <c r="B207" s="193">
        <f ca="1">IF(DarlehenIstGut,IF(ROW()-ROW(ZahlungsZeitplan[[#Headers],['#]])&gt;PlanmäßigeAnzahlZahlungen,"",ROW()-ROW(ZahlungsZeitplan[[#Headers],['#]])),"")</f>
        <v>194</v>
      </c>
      <c r="C207" s="194">
        <f ca="1">IF(ZahlungsZeitplan[[#This Row],['#]]&lt;&gt;"",EOMONTH(DarlehensAnfangsDatum,ROW(ZahlungsZeitplan[[#This Row],['#]])-ROW(ZahlungsZeitplan[[#Headers],['#]])-2)+DAY(DarlehensAnfangsDatum),"")</f>
        <v>51199</v>
      </c>
      <c r="D207" s="195">
        <f ca="1">IF(ZahlungsZeitplan[[#This Row],['#]]&lt;&gt;"",IF(ROW()-ROW(ZahlungsZeitplan[[#Headers],[ANFANGSSALDO]])=1,DarlehensBetrag,INDEX(ZahlungsZeitplan[ENDSALDO],ROW()-ROW(ZahlungsZeitplan[[#Headers],[ANFANGSSALDO]])-1)),"")</f>
        <v>38400.998951351343</v>
      </c>
      <c r="E207" s="195">
        <f ca="1">IF(ZahlungsZeitplan[[#This Row],['#]]&lt;&gt;"",PlanmäßigeZahlung,"")</f>
        <v>645.29573460105871</v>
      </c>
      <c r="F20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7" s="195">
        <f ca="1">IF(ZahlungsZeitplan[[#This Row],['#]]&lt;&gt;"",ZahlungsZeitplan[[#This Row],[GESAMTZAHLUNG]]-ZahlungsZeitplan[[#This Row],[ZINSEN]],"")</f>
        <v>517.61241308781553</v>
      </c>
      <c r="I207" s="195">
        <f ca="1">IF(ZahlungsZeitplan[[#This Row],['#]]&lt;=($D$8*12),IF(ZahlungsZeitplan[[#This Row],['#]]&lt;&gt;"",ZahlungsZeitplan[[#This Row],[ANFANGSSALDO]]*(ZinsSatz/ZahlungenProJahr),""),IF(ZahlungsZeitplan[[#This Row],['#]]&lt;&gt;"",ZahlungsZeitplan[[#This Row],[ANFANGSSALDO]]*((ZinsSatz+$D$9)/ZahlungenProJahr),""))</f>
        <v>127.68332151324323</v>
      </c>
      <c r="J207" s="195">
        <f ca="1">IF(ZahlungsZeitplan[[#This Row],['#]]&lt;&gt;"",IF(ZahlungsZeitplan[[#This Row],[Zahlungen (Plan)]]+ZahlungsZeitplan[[#This Row],[SONDERZAHLUNG]]&lt;=ZahlungsZeitplan[[#This Row],[ANFANGSSALDO]],ZahlungsZeitplan[[#This Row],[ANFANGSSALDO]]-ZahlungsZeitplan[[#This Row],[KAPITAL]],0),"")</f>
        <v>37883.386538263527</v>
      </c>
      <c r="K207" s="195">
        <f ca="1">IF(ZahlungsZeitplan[[#This Row],['#]]&lt;&gt;"",SUM(INDEX(ZahlungsZeitplan[ZINSEN],1,1):ZahlungsZeitplan[[#This Row],[ZINSEN]]),"")</f>
        <v>29215.759050868866</v>
      </c>
    </row>
    <row r="208" spans="2:11">
      <c r="B208" s="193">
        <f ca="1">IF(DarlehenIstGut,IF(ROW()-ROW(ZahlungsZeitplan[[#Headers],['#]])&gt;PlanmäßigeAnzahlZahlungen,"",ROW()-ROW(ZahlungsZeitplan[[#Headers],['#]])),"")</f>
        <v>195</v>
      </c>
      <c r="C208" s="194">
        <f ca="1">IF(ZahlungsZeitplan[[#This Row],['#]]&lt;&gt;"",EOMONTH(DarlehensAnfangsDatum,ROW(ZahlungsZeitplan[[#This Row],['#]])-ROW(ZahlungsZeitplan[[#Headers],['#]])-2)+DAY(DarlehensAnfangsDatum),"")</f>
        <v>51230</v>
      </c>
      <c r="D208" s="195">
        <f ca="1">IF(ZahlungsZeitplan[[#This Row],['#]]&lt;&gt;"",IF(ROW()-ROW(ZahlungsZeitplan[[#Headers],[ANFANGSSALDO]])=1,DarlehensBetrag,INDEX(ZahlungsZeitplan[ENDSALDO],ROW()-ROW(ZahlungsZeitplan[[#Headers],[ANFANGSSALDO]])-1)),"")</f>
        <v>37883.386538263527</v>
      </c>
      <c r="E208" s="195">
        <f ca="1">IF(ZahlungsZeitplan[[#This Row],['#]]&lt;&gt;"",PlanmäßigeZahlung,"")</f>
        <v>645.29573460105871</v>
      </c>
      <c r="F20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8" s="195">
        <f ca="1">IF(ZahlungsZeitplan[[#This Row],['#]]&lt;&gt;"",ZahlungsZeitplan[[#This Row],[GESAMTZAHLUNG]]-ZahlungsZeitplan[[#This Row],[ZINSEN]],"")</f>
        <v>519.33347436133249</v>
      </c>
      <c r="I208" s="195">
        <f ca="1">IF(ZahlungsZeitplan[[#This Row],['#]]&lt;=($D$8*12),IF(ZahlungsZeitplan[[#This Row],['#]]&lt;&gt;"",ZahlungsZeitplan[[#This Row],[ANFANGSSALDO]]*(ZinsSatz/ZahlungenProJahr),""),IF(ZahlungsZeitplan[[#This Row],['#]]&lt;&gt;"",ZahlungsZeitplan[[#This Row],[ANFANGSSALDO]]*((ZinsSatz+$D$9)/ZahlungenProJahr),""))</f>
        <v>125.96226023972623</v>
      </c>
      <c r="J208" s="195">
        <f ca="1">IF(ZahlungsZeitplan[[#This Row],['#]]&lt;&gt;"",IF(ZahlungsZeitplan[[#This Row],[Zahlungen (Plan)]]+ZahlungsZeitplan[[#This Row],[SONDERZAHLUNG]]&lt;=ZahlungsZeitplan[[#This Row],[ANFANGSSALDO]],ZahlungsZeitplan[[#This Row],[ANFANGSSALDO]]-ZahlungsZeitplan[[#This Row],[KAPITAL]],0),"")</f>
        <v>37364.053063902196</v>
      </c>
      <c r="K208" s="195">
        <f ca="1">IF(ZahlungsZeitplan[[#This Row],['#]]&lt;&gt;"",SUM(INDEX(ZahlungsZeitplan[ZINSEN],1,1):ZahlungsZeitplan[[#This Row],[ZINSEN]]),"")</f>
        <v>29341.721311108591</v>
      </c>
    </row>
    <row r="209" spans="2:11">
      <c r="B209" s="193">
        <f ca="1">IF(DarlehenIstGut,IF(ROW()-ROW(ZahlungsZeitplan[[#Headers],['#]])&gt;PlanmäßigeAnzahlZahlungen,"",ROW()-ROW(ZahlungsZeitplan[[#Headers],['#]])),"")</f>
        <v>196</v>
      </c>
      <c r="C209" s="194">
        <f ca="1">IF(ZahlungsZeitplan[[#This Row],['#]]&lt;&gt;"",EOMONTH(DarlehensAnfangsDatum,ROW(ZahlungsZeitplan[[#This Row],['#]])-ROW(ZahlungsZeitplan[[#Headers],['#]])-2)+DAY(DarlehensAnfangsDatum),"")</f>
        <v>51260</v>
      </c>
      <c r="D209" s="195">
        <f ca="1">IF(ZahlungsZeitplan[[#This Row],['#]]&lt;&gt;"",IF(ROW()-ROW(ZahlungsZeitplan[[#Headers],[ANFANGSSALDO]])=1,DarlehensBetrag,INDEX(ZahlungsZeitplan[ENDSALDO],ROW()-ROW(ZahlungsZeitplan[[#Headers],[ANFANGSSALDO]])-1)),"")</f>
        <v>37364.053063902196</v>
      </c>
      <c r="E209" s="195">
        <f ca="1">IF(ZahlungsZeitplan[[#This Row],['#]]&lt;&gt;"",PlanmäßigeZahlung,"")</f>
        <v>645.29573460105871</v>
      </c>
      <c r="F20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0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09" s="195">
        <f ca="1">IF(ZahlungsZeitplan[[#This Row],['#]]&lt;&gt;"",ZahlungsZeitplan[[#This Row],[GESAMTZAHLUNG]]-ZahlungsZeitplan[[#This Row],[ZINSEN]],"")</f>
        <v>521.06025816358385</v>
      </c>
      <c r="I209" s="195">
        <f ca="1">IF(ZahlungsZeitplan[[#This Row],['#]]&lt;=($D$8*12),IF(ZahlungsZeitplan[[#This Row],['#]]&lt;&gt;"",ZahlungsZeitplan[[#This Row],[ANFANGSSALDO]]*(ZinsSatz/ZahlungenProJahr),""),IF(ZahlungsZeitplan[[#This Row],['#]]&lt;&gt;"",ZahlungsZeitplan[[#This Row],[ANFANGSSALDO]]*((ZinsSatz+$D$9)/ZahlungenProJahr),""))</f>
        <v>124.23547643747482</v>
      </c>
      <c r="J209" s="195">
        <f ca="1">IF(ZahlungsZeitplan[[#This Row],['#]]&lt;&gt;"",IF(ZahlungsZeitplan[[#This Row],[Zahlungen (Plan)]]+ZahlungsZeitplan[[#This Row],[SONDERZAHLUNG]]&lt;=ZahlungsZeitplan[[#This Row],[ANFANGSSALDO]],ZahlungsZeitplan[[#This Row],[ANFANGSSALDO]]-ZahlungsZeitplan[[#This Row],[KAPITAL]],0),"")</f>
        <v>36842.992805738613</v>
      </c>
      <c r="K209" s="195">
        <f ca="1">IF(ZahlungsZeitplan[[#This Row],['#]]&lt;&gt;"",SUM(INDEX(ZahlungsZeitplan[ZINSEN],1,1):ZahlungsZeitplan[[#This Row],[ZINSEN]]),"")</f>
        <v>29465.956787546067</v>
      </c>
    </row>
    <row r="210" spans="2:11">
      <c r="B210" s="193">
        <f ca="1">IF(DarlehenIstGut,IF(ROW()-ROW(ZahlungsZeitplan[[#Headers],['#]])&gt;PlanmäßigeAnzahlZahlungen,"",ROW()-ROW(ZahlungsZeitplan[[#Headers],['#]])),"")</f>
        <v>197</v>
      </c>
      <c r="C210" s="194">
        <f ca="1">IF(ZahlungsZeitplan[[#This Row],['#]]&lt;&gt;"",EOMONTH(DarlehensAnfangsDatum,ROW(ZahlungsZeitplan[[#This Row],['#]])-ROW(ZahlungsZeitplan[[#Headers],['#]])-2)+DAY(DarlehensAnfangsDatum),"")</f>
        <v>51291</v>
      </c>
      <c r="D210" s="195">
        <f ca="1">IF(ZahlungsZeitplan[[#This Row],['#]]&lt;&gt;"",IF(ROW()-ROW(ZahlungsZeitplan[[#Headers],[ANFANGSSALDO]])=1,DarlehensBetrag,INDEX(ZahlungsZeitplan[ENDSALDO],ROW()-ROW(ZahlungsZeitplan[[#Headers],[ANFANGSSALDO]])-1)),"")</f>
        <v>36842.992805738613</v>
      </c>
      <c r="E210" s="195">
        <f ca="1">IF(ZahlungsZeitplan[[#This Row],['#]]&lt;&gt;"",PlanmäßigeZahlung,"")</f>
        <v>645.29573460105871</v>
      </c>
      <c r="F21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0" s="195">
        <f ca="1">IF(ZahlungsZeitplan[[#This Row],['#]]&lt;&gt;"",ZahlungsZeitplan[[#This Row],[GESAMTZAHLUNG]]-ZahlungsZeitplan[[#This Row],[ZINSEN]],"")</f>
        <v>522.79278352197775</v>
      </c>
      <c r="I210" s="195">
        <f ca="1">IF(ZahlungsZeitplan[[#This Row],['#]]&lt;=($D$8*12),IF(ZahlungsZeitplan[[#This Row],['#]]&lt;&gt;"",ZahlungsZeitplan[[#This Row],[ANFANGSSALDO]]*(ZinsSatz/ZahlungenProJahr),""),IF(ZahlungsZeitplan[[#This Row],['#]]&lt;&gt;"",ZahlungsZeitplan[[#This Row],[ANFANGSSALDO]]*((ZinsSatz+$D$9)/ZahlungenProJahr),""))</f>
        <v>122.5029510790809</v>
      </c>
      <c r="J210" s="195">
        <f ca="1">IF(ZahlungsZeitplan[[#This Row],['#]]&lt;&gt;"",IF(ZahlungsZeitplan[[#This Row],[Zahlungen (Plan)]]+ZahlungsZeitplan[[#This Row],[SONDERZAHLUNG]]&lt;=ZahlungsZeitplan[[#This Row],[ANFANGSSALDO]],ZahlungsZeitplan[[#This Row],[ANFANGSSALDO]]-ZahlungsZeitplan[[#This Row],[KAPITAL]],0),"")</f>
        <v>36320.200022216639</v>
      </c>
      <c r="K210" s="195">
        <f ca="1">IF(ZahlungsZeitplan[[#This Row],['#]]&lt;&gt;"",SUM(INDEX(ZahlungsZeitplan[ZINSEN],1,1):ZahlungsZeitplan[[#This Row],[ZINSEN]]),"")</f>
        <v>29588.459738625148</v>
      </c>
    </row>
    <row r="211" spans="2:11">
      <c r="B211" s="193">
        <f ca="1">IF(DarlehenIstGut,IF(ROW()-ROW(ZahlungsZeitplan[[#Headers],['#]])&gt;PlanmäßigeAnzahlZahlungen,"",ROW()-ROW(ZahlungsZeitplan[[#Headers],['#]])),"")</f>
        <v>198</v>
      </c>
      <c r="C211" s="194">
        <f ca="1">IF(ZahlungsZeitplan[[#This Row],['#]]&lt;&gt;"",EOMONTH(DarlehensAnfangsDatum,ROW(ZahlungsZeitplan[[#This Row],['#]])-ROW(ZahlungsZeitplan[[#Headers],['#]])-2)+DAY(DarlehensAnfangsDatum),"")</f>
        <v>51321</v>
      </c>
      <c r="D211" s="195">
        <f ca="1">IF(ZahlungsZeitplan[[#This Row],['#]]&lt;&gt;"",IF(ROW()-ROW(ZahlungsZeitplan[[#Headers],[ANFANGSSALDO]])=1,DarlehensBetrag,INDEX(ZahlungsZeitplan[ENDSALDO],ROW()-ROW(ZahlungsZeitplan[[#Headers],[ANFANGSSALDO]])-1)),"")</f>
        <v>36320.200022216639</v>
      </c>
      <c r="E211" s="195">
        <f ca="1">IF(ZahlungsZeitplan[[#This Row],['#]]&lt;&gt;"",PlanmäßigeZahlung,"")</f>
        <v>645.29573460105871</v>
      </c>
      <c r="F21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1" s="195">
        <f ca="1">IF(ZahlungsZeitplan[[#This Row],['#]]&lt;&gt;"",ZahlungsZeitplan[[#This Row],[GESAMTZAHLUNG]]-ZahlungsZeitplan[[#This Row],[ZINSEN]],"")</f>
        <v>524.53106952718838</v>
      </c>
      <c r="I211" s="195">
        <f ca="1">IF(ZahlungsZeitplan[[#This Row],['#]]&lt;=($D$8*12),IF(ZahlungsZeitplan[[#This Row],['#]]&lt;&gt;"",ZahlungsZeitplan[[#This Row],[ANFANGSSALDO]]*(ZinsSatz/ZahlungenProJahr),""),IF(ZahlungsZeitplan[[#This Row],['#]]&lt;&gt;"",ZahlungsZeitplan[[#This Row],[ANFANGSSALDO]]*((ZinsSatz+$D$9)/ZahlungenProJahr),""))</f>
        <v>120.76466507387033</v>
      </c>
      <c r="J211" s="195">
        <f ca="1">IF(ZahlungsZeitplan[[#This Row],['#]]&lt;&gt;"",IF(ZahlungsZeitplan[[#This Row],[Zahlungen (Plan)]]+ZahlungsZeitplan[[#This Row],[SONDERZAHLUNG]]&lt;=ZahlungsZeitplan[[#This Row],[ANFANGSSALDO]],ZahlungsZeitplan[[#This Row],[ANFANGSSALDO]]-ZahlungsZeitplan[[#This Row],[KAPITAL]],0),"")</f>
        <v>35795.668952689448</v>
      </c>
      <c r="K211" s="195">
        <f ca="1">IF(ZahlungsZeitplan[[#This Row],['#]]&lt;&gt;"",SUM(INDEX(ZahlungsZeitplan[ZINSEN],1,1):ZahlungsZeitplan[[#This Row],[ZINSEN]]),"")</f>
        <v>29709.22440369902</v>
      </c>
    </row>
    <row r="212" spans="2:11">
      <c r="B212" s="193">
        <f ca="1">IF(DarlehenIstGut,IF(ROW()-ROW(ZahlungsZeitplan[[#Headers],['#]])&gt;PlanmäßigeAnzahlZahlungen,"",ROW()-ROW(ZahlungsZeitplan[[#Headers],['#]])),"")</f>
        <v>199</v>
      </c>
      <c r="C212" s="194">
        <f ca="1">IF(ZahlungsZeitplan[[#This Row],['#]]&lt;&gt;"",EOMONTH(DarlehensAnfangsDatum,ROW(ZahlungsZeitplan[[#This Row],['#]])-ROW(ZahlungsZeitplan[[#Headers],['#]])-2)+DAY(DarlehensAnfangsDatum),"")</f>
        <v>51352</v>
      </c>
      <c r="D212" s="195">
        <f ca="1">IF(ZahlungsZeitplan[[#This Row],['#]]&lt;&gt;"",IF(ROW()-ROW(ZahlungsZeitplan[[#Headers],[ANFANGSSALDO]])=1,DarlehensBetrag,INDEX(ZahlungsZeitplan[ENDSALDO],ROW()-ROW(ZahlungsZeitplan[[#Headers],[ANFANGSSALDO]])-1)),"")</f>
        <v>35795.668952689448</v>
      </c>
      <c r="E212" s="195">
        <f ca="1">IF(ZahlungsZeitplan[[#This Row],['#]]&lt;&gt;"",PlanmäßigeZahlung,"")</f>
        <v>645.29573460105871</v>
      </c>
      <c r="F21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2" s="195">
        <f ca="1">IF(ZahlungsZeitplan[[#This Row],['#]]&lt;&gt;"",ZahlungsZeitplan[[#This Row],[GESAMTZAHLUNG]]-ZahlungsZeitplan[[#This Row],[ZINSEN]],"")</f>
        <v>526.27513533336628</v>
      </c>
      <c r="I212" s="195">
        <f ca="1">IF(ZahlungsZeitplan[[#This Row],['#]]&lt;=($D$8*12),IF(ZahlungsZeitplan[[#This Row],['#]]&lt;&gt;"",ZahlungsZeitplan[[#This Row],[ANFANGSSALDO]]*(ZinsSatz/ZahlungenProJahr),""),IF(ZahlungsZeitplan[[#This Row],['#]]&lt;&gt;"",ZahlungsZeitplan[[#This Row],[ANFANGSSALDO]]*((ZinsSatz+$D$9)/ZahlungenProJahr),""))</f>
        <v>119.02059926769242</v>
      </c>
      <c r="J212" s="195">
        <f ca="1">IF(ZahlungsZeitplan[[#This Row],['#]]&lt;&gt;"",IF(ZahlungsZeitplan[[#This Row],[Zahlungen (Plan)]]+ZahlungsZeitplan[[#This Row],[SONDERZAHLUNG]]&lt;=ZahlungsZeitplan[[#This Row],[ANFANGSSALDO]],ZahlungsZeitplan[[#This Row],[ANFANGSSALDO]]-ZahlungsZeitplan[[#This Row],[KAPITAL]],0),"")</f>
        <v>35269.393817356082</v>
      </c>
      <c r="K212" s="195">
        <f ca="1">IF(ZahlungsZeitplan[[#This Row],['#]]&lt;&gt;"",SUM(INDEX(ZahlungsZeitplan[ZINSEN],1,1):ZahlungsZeitplan[[#This Row],[ZINSEN]]),"")</f>
        <v>29828.245002966712</v>
      </c>
    </row>
    <row r="213" spans="2:11">
      <c r="B213" s="193">
        <f ca="1">IF(DarlehenIstGut,IF(ROW()-ROW(ZahlungsZeitplan[[#Headers],['#]])&gt;PlanmäßigeAnzahlZahlungen,"",ROW()-ROW(ZahlungsZeitplan[[#Headers],['#]])),"")</f>
        <v>200</v>
      </c>
      <c r="C213" s="194">
        <f ca="1">IF(ZahlungsZeitplan[[#This Row],['#]]&lt;&gt;"",EOMONTH(DarlehensAnfangsDatum,ROW(ZahlungsZeitplan[[#This Row],['#]])-ROW(ZahlungsZeitplan[[#Headers],['#]])-2)+DAY(DarlehensAnfangsDatum),"")</f>
        <v>51383</v>
      </c>
      <c r="D213" s="195">
        <f ca="1">IF(ZahlungsZeitplan[[#This Row],['#]]&lt;&gt;"",IF(ROW()-ROW(ZahlungsZeitplan[[#Headers],[ANFANGSSALDO]])=1,DarlehensBetrag,INDEX(ZahlungsZeitplan[ENDSALDO],ROW()-ROW(ZahlungsZeitplan[[#Headers],[ANFANGSSALDO]])-1)),"")</f>
        <v>35269.393817356082</v>
      </c>
      <c r="E213" s="195">
        <f ca="1">IF(ZahlungsZeitplan[[#This Row],['#]]&lt;&gt;"",PlanmäßigeZahlung,"")</f>
        <v>645.29573460105871</v>
      </c>
      <c r="F21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3" s="195">
        <f ca="1">IF(ZahlungsZeitplan[[#This Row],['#]]&lt;&gt;"",ZahlungsZeitplan[[#This Row],[GESAMTZAHLUNG]]-ZahlungsZeitplan[[#This Row],[ZINSEN]],"")</f>
        <v>528.02500015834971</v>
      </c>
      <c r="I213" s="195">
        <f ca="1">IF(ZahlungsZeitplan[[#This Row],['#]]&lt;=($D$8*12),IF(ZahlungsZeitplan[[#This Row],['#]]&lt;&gt;"",ZahlungsZeitplan[[#This Row],[ANFANGSSALDO]]*(ZinsSatz/ZahlungenProJahr),""),IF(ZahlungsZeitplan[[#This Row],['#]]&lt;&gt;"",ZahlungsZeitplan[[#This Row],[ANFANGSSALDO]]*((ZinsSatz+$D$9)/ZahlungenProJahr),""))</f>
        <v>117.27073444270899</v>
      </c>
      <c r="J213" s="195">
        <f ca="1">IF(ZahlungsZeitplan[[#This Row],['#]]&lt;&gt;"",IF(ZahlungsZeitplan[[#This Row],[Zahlungen (Plan)]]+ZahlungsZeitplan[[#This Row],[SONDERZAHLUNG]]&lt;=ZahlungsZeitplan[[#This Row],[ANFANGSSALDO]],ZahlungsZeitplan[[#This Row],[ANFANGSSALDO]]-ZahlungsZeitplan[[#This Row],[KAPITAL]],0),"")</f>
        <v>34741.368817197734</v>
      </c>
      <c r="K213" s="195">
        <f ca="1">IF(ZahlungsZeitplan[[#This Row],['#]]&lt;&gt;"",SUM(INDEX(ZahlungsZeitplan[ZINSEN],1,1):ZahlungsZeitplan[[#This Row],[ZINSEN]]),"")</f>
        <v>29945.51573740942</v>
      </c>
    </row>
    <row r="214" spans="2:11">
      <c r="B214" s="193">
        <f ca="1">IF(DarlehenIstGut,IF(ROW()-ROW(ZahlungsZeitplan[[#Headers],['#]])&gt;PlanmäßigeAnzahlZahlungen,"",ROW()-ROW(ZahlungsZeitplan[[#Headers],['#]])),"")</f>
        <v>201</v>
      </c>
      <c r="C214" s="194">
        <f ca="1">IF(ZahlungsZeitplan[[#This Row],['#]]&lt;&gt;"",EOMONTH(DarlehensAnfangsDatum,ROW(ZahlungsZeitplan[[#This Row],['#]])-ROW(ZahlungsZeitplan[[#Headers],['#]])-2)+DAY(DarlehensAnfangsDatum),"")</f>
        <v>51413</v>
      </c>
      <c r="D214" s="195">
        <f ca="1">IF(ZahlungsZeitplan[[#This Row],['#]]&lt;&gt;"",IF(ROW()-ROW(ZahlungsZeitplan[[#Headers],[ANFANGSSALDO]])=1,DarlehensBetrag,INDEX(ZahlungsZeitplan[ENDSALDO],ROW()-ROW(ZahlungsZeitplan[[#Headers],[ANFANGSSALDO]])-1)),"")</f>
        <v>34741.368817197734</v>
      </c>
      <c r="E214" s="195">
        <f ca="1">IF(ZahlungsZeitplan[[#This Row],['#]]&lt;&gt;"",PlanmäßigeZahlung,"")</f>
        <v>645.29573460105871</v>
      </c>
      <c r="F21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4" s="195">
        <f ca="1">IF(ZahlungsZeitplan[[#This Row],['#]]&lt;&gt;"",ZahlungsZeitplan[[#This Row],[GESAMTZAHLUNG]]-ZahlungsZeitplan[[#This Row],[ZINSEN]],"")</f>
        <v>529.78068328387621</v>
      </c>
      <c r="I214" s="195">
        <f ca="1">IF(ZahlungsZeitplan[[#This Row],['#]]&lt;=($D$8*12),IF(ZahlungsZeitplan[[#This Row],['#]]&lt;&gt;"",ZahlungsZeitplan[[#This Row],[ANFANGSSALDO]]*(ZinsSatz/ZahlungenProJahr),""),IF(ZahlungsZeitplan[[#This Row],['#]]&lt;&gt;"",ZahlungsZeitplan[[#This Row],[ANFANGSSALDO]]*((ZinsSatz+$D$9)/ZahlungenProJahr),""))</f>
        <v>115.51505131718247</v>
      </c>
      <c r="J214" s="195">
        <f ca="1">IF(ZahlungsZeitplan[[#This Row],['#]]&lt;&gt;"",IF(ZahlungsZeitplan[[#This Row],[Zahlungen (Plan)]]+ZahlungsZeitplan[[#This Row],[SONDERZAHLUNG]]&lt;=ZahlungsZeitplan[[#This Row],[ANFANGSSALDO]],ZahlungsZeitplan[[#This Row],[ANFANGSSALDO]]-ZahlungsZeitplan[[#This Row],[KAPITAL]],0),"")</f>
        <v>34211.588133913858</v>
      </c>
      <c r="K214" s="195">
        <f ca="1">IF(ZahlungsZeitplan[[#This Row],['#]]&lt;&gt;"",SUM(INDEX(ZahlungsZeitplan[ZINSEN],1,1):ZahlungsZeitplan[[#This Row],[ZINSEN]]),"")</f>
        <v>30061.030788726603</v>
      </c>
    </row>
    <row r="215" spans="2:11">
      <c r="B215" s="193">
        <f ca="1">IF(DarlehenIstGut,IF(ROW()-ROW(ZahlungsZeitplan[[#Headers],['#]])&gt;PlanmäßigeAnzahlZahlungen,"",ROW()-ROW(ZahlungsZeitplan[[#Headers],['#]])),"")</f>
        <v>202</v>
      </c>
      <c r="C215" s="194">
        <f ca="1">IF(ZahlungsZeitplan[[#This Row],['#]]&lt;&gt;"",EOMONTH(DarlehensAnfangsDatum,ROW(ZahlungsZeitplan[[#This Row],['#]])-ROW(ZahlungsZeitplan[[#Headers],['#]])-2)+DAY(DarlehensAnfangsDatum),"")</f>
        <v>51444</v>
      </c>
      <c r="D215" s="195">
        <f ca="1">IF(ZahlungsZeitplan[[#This Row],['#]]&lt;&gt;"",IF(ROW()-ROW(ZahlungsZeitplan[[#Headers],[ANFANGSSALDO]])=1,DarlehensBetrag,INDEX(ZahlungsZeitplan[ENDSALDO],ROW()-ROW(ZahlungsZeitplan[[#Headers],[ANFANGSSALDO]])-1)),"")</f>
        <v>34211.588133913858</v>
      </c>
      <c r="E215" s="195">
        <f ca="1">IF(ZahlungsZeitplan[[#This Row],['#]]&lt;&gt;"",PlanmäßigeZahlung,"")</f>
        <v>645.29573460105871</v>
      </c>
      <c r="F21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5" s="195">
        <f ca="1">IF(ZahlungsZeitplan[[#This Row],['#]]&lt;&gt;"",ZahlungsZeitplan[[#This Row],[GESAMTZAHLUNG]]-ZahlungsZeitplan[[#This Row],[ZINSEN]],"")</f>
        <v>531.54220405579508</v>
      </c>
      <c r="I215" s="195">
        <f ca="1">IF(ZahlungsZeitplan[[#This Row],['#]]&lt;=($D$8*12),IF(ZahlungsZeitplan[[#This Row],['#]]&lt;&gt;"",ZahlungsZeitplan[[#This Row],[ANFANGSSALDO]]*(ZinsSatz/ZahlungenProJahr),""),IF(ZahlungsZeitplan[[#This Row],['#]]&lt;&gt;"",ZahlungsZeitplan[[#This Row],[ANFANGSSALDO]]*((ZinsSatz+$D$9)/ZahlungenProJahr),""))</f>
        <v>113.75353054526359</v>
      </c>
      <c r="J215" s="195">
        <f ca="1">IF(ZahlungsZeitplan[[#This Row],['#]]&lt;&gt;"",IF(ZahlungsZeitplan[[#This Row],[Zahlungen (Plan)]]+ZahlungsZeitplan[[#This Row],[SONDERZAHLUNG]]&lt;=ZahlungsZeitplan[[#This Row],[ANFANGSSALDO]],ZahlungsZeitplan[[#This Row],[ANFANGSSALDO]]-ZahlungsZeitplan[[#This Row],[KAPITAL]],0),"")</f>
        <v>33680.045929858061</v>
      </c>
      <c r="K215" s="195">
        <f ca="1">IF(ZahlungsZeitplan[[#This Row],['#]]&lt;&gt;"",SUM(INDEX(ZahlungsZeitplan[ZINSEN],1,1):ZahlungsZeitplan[[#This Row],[ZINSEN]]),"")</f>
        <v>30174.784319271865</v>
      </c>
    </row>
    <row r="216" spans="2:11">
      <c r="B216" s="193">
        <f ca="1">IF(DarlehenIstGut,IF(ROW()-ROW(ZahlungsZeitplan[[#Headers],['#]])&gt;PlanmäßigeAnzahlZahlungen,"",ROW()-ROW(ZahlungsZeitplan[[#Headers],['#]])),"")</f>
        <v>203</v>
      </c>
      <c r="C216" s="194">
        <f ca="1">IF(ZahlungsZeitplan[[#This Row],['#]]&lt;&gt;"",EOMONTH(DarlehensAnfangsDatum,ROW(ZahlungsZeitplan[[#This Row],['#]])-ROW(ZahlungsZeitplan[[#Headers],['#]])-2)+DAY(DarlehensAnfangsDatum),"")</f>
        <v>51474</v>
      </c>
      <c r="D216" s="195">
        <f ca="1">IF(ZahlungsZeitplan[[#This Row],['#]]&lt;&gt;"",IF(ROW()-ROW(ZahlungsZeitplan[[#Headers],[ANFANGSSALDO]])=1,DarlehensBetrag,INDEX(ZahlungsZeitplan[ENDSALDO],ROW()-ROW(ZahlungsZeitplan[[#Headers],[ANFANGSSALDO]])-1)),"")</f>
        <v>33680.045929858061</v>
      </c>
      <c r="E216" s="195">
        <f ca="1">IF(ZahlungsZeitplan[[#This Row],['#]]&lt;&gt;"",PlanmäßigeZahlung,"")</f>
        <v>645.29573460105871</v>
      </c>
      <c r="F21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6" s="195">
        <f ca="1">IF(ZahlungsZeitplan[[#This Row],['#]]&lt;&gt;"",ZahlungsZeitplan[[#This Row],[GESAMTZAHLUNG]]-ZahlungsZeitplan[[#This Row],[ZINSEN]],"")</f>
        <v>533.30958188428065</v>
      </c>
      <c r="I216" s="195">
        <f ca="1">IF(ZahlungsZeitplan[[#This Row],['#]]&lt;=($D$8*12),IF(ZahlungsZeitplan[[#This Row],['#]]&lt;&gt;"",ZahlungsZeitplan[[#This Row],[ANFANGSSALDO]]*(ZinsSatz/ZahlungenProJahr),""),IF(ZahlungsZeitplan[[#This Row],['#]]&lt;&gt;"",ZahlungsZeitplan[[#This Row],[ANFANGSSALDO]]*((ZinsSatz+$D$9)/ZahlungenProJahr),""))</f>
        <v>111.98615271677807</v>
      </c>
      <c r="J216" s="195">
        <f ca="1">IF(ZahlungsZeitplan[[#This Row],['#]]&lt;&gt;"",IF(ZahlungsZeitplan[[#This Row],[Zahlungen (Plan)]]+ZahlungsZeitplan[[#This Row],[SONDERZAHLUNG]]&lt;=ZahlungsZeitplan[[#This Row],[ANFANGSSALDO]],ZahlungsZeitplan[[#This Row],[ANFANGSSALDO]]-ZahlungsZeitplan[[#This Row],[KAPITAL]],0),"")</f>
        <v>33146.736347973783</v>
      </c>
      <c r="K216" s="195">
        <f ca="1">IF(ZahlungsZeitplan[[#This Row],['#]]&lt;&gt;"",SUM(INDEX(ZahlungsZeitplan[ZINSEN],1,1):ZahlungsZeitplan[[#This Row],[ZINSEN]]),"")</f>
        <v>30286.770471988642</v>
      </c>
    </row>
    <row r="217" spans="2:11">
      <c r="B217" s="193">
        <f ca="1">IF(DarlehenIstGut,IF(ROW()-ROW(ZahlungsZeitplan[[#Headers],['#]])&gt;PlanmäßigeAnzahlZahlungen,"",ROW()-ROW(ZahlungsZeitplan[[#Headers],['#]])),"")</f>
        <v>204</v>
      </c>
      <c r="C217" s="194">
        <f ca="1">IF(ZahlungsZeitplan[[#This Row],['#]]&lt;&gt;"",EOMONTH(DarlehensAnfangsDatum,ROW(ZahlungsZeitplan[[#This Row],['#]])-ROW(ZahlungsZeitplan[[#Headers],['#]])-2)+DAY(DarlehensAnfangsDatum),"")</f>
        <v>51505</v>
      </c>
      <c r="D217" s="195">
        <f ca="1">IF(ZahlungsZeitplan[[#This Row],['#]]&lt;&gt;"",IF(ROW()-ROW(ZahlungsZeitplan[[#Headers],[ANFANGSSALDO]])=1,DarlehensBetrag,INDEX(ZahlungsZeitplan[ENDSALDO],ROW()-ROW(ZahlungsZeitplan[[#Headers],[ANFANGSSALDO]])-1)),"")</f>
        <v>33146.736347973783</v>
      </c>
      <c r="E217" s="195">
        <f ca="1">IF(ZahlungsZeitplan[[#This Row],['#]]&lt;&gt;"",PlanmäßigeZahlung,"")</f>
        <v>645.29573460105871</v>
      </c>
      <c r="F21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7" s="195">
        <f ca="1">IF(ZahlungsZeitplan[[#This Row],['#]]&lt;&gt;"",ZahlungsZeitplan[[#This Row],[GESAMTZAHLUNG]]-ZahlungsZeitplan[[#This Row],[ZINSEN]],"")</f>
        <v>535.08283624404589</v>
      </c>
      <c r="I217" s="195">
        <f ca="1">IF(ZahlungsZeitplan[[#This Row],['#]]&lt;=($D$8*12),IF(ZahlungsZeitplan[[#This Row],['#]]&lt;&gt;"",ZahlungsZeitplan[[#This Row],[ANFANGSSALDO]]*(ZinsSatz/ZahlungenProJahr),""),IF(ZahlungsZeitplan[[#This Row],['#]]&lt;&gt;"",ZahlungsZeitplan[[#This Row],[ANFANGSSALDO]]*((ZinsSatz+$D$9)/ZahlungenProJahr),""))</f>
        <v>110.21289835701283</v>
      </c>
      <c r="J217" s="195">
        <f ca="1">IF(ZahlungsZeitplan[[#This Row],['#]]&lt;&gt;"",IF(ZahlungsZeitplan[[#This Row],[Zahlungen (Plan)]]+ZahlungsZeitplan[[#This Row],[SONDERZAHLUNG]]&lt;=ZahlungsZeitplan[[#This Row],[ANFANGSSALDO]],ZahlungsZeitplan[[#This Row],[ANFANGSSALDO]]-ZahlungsZeitplan[[#This Row],[KAPITAL]],0),"")</f>
        <v>32611.653511729739</v>
      </c>
      <c r="K217" s="195">
        <f ca="1">IF(ZahlungsZeitplan[[#This Row],['#]]&lt;&gt;"",SUM(INDEX(ZahlungsZeitplan[ZINSEN],1,1):ZahlungsZeitplan[[#This Row],[ZINSEN]]),"")</f>
        <v>30396.983370345657</v>
      </c>
    </row>
    <row r="218" spans="2:11">
      <c r="B218" s="193">
        <f ca="1">IF(DarlehenIstGut,IF(ROW()-ROW(ZahlungsZeitplan[[#Headers],['#]])&gt;PlanmäßigeAnzahlZahlungen,"",ROW()-ROW(ZahlungsZeitplan[[#Headers],['#]])),"")</f>
        <v>205</v>
      </c>
      <c r="C218" s="194">
        <f ca="1">IF(ZahlungsZeitplan[[#This Row],['#]]&lt;&gt;"",EOMONTH(DarlehensAnfangsDatum,ROW(ZahlungsZeitplan[[#This Row],['#]])-ROW(ZahlungsZeitplan[[#Headers],['#]])-2)+DAY(DarlehensAnfangsDatum),"")</f>
        <v>51536</v>
      </c>
      <c r="D218" s="195">
        <f ca="1">IF(ZahlungsZeitplan[[#This Row],['#]]&lt;&gt;"",IF(ROW()-ROW(ZahlungsZeitplan[[#Headers],[ANFANGSSALDO]])=1,DarlehensBetrag,INDEX(ZahlungsZeitplan[ENDSALDO],ROW()-ROW(ZahlungsZeitplan[[#Headers],[ANFANGSSALDO]])-1)),"")</f>
        <v>32611.653511729739</v>
      </c>
      <c r="E218" s="195">
        <f ca="1">IF(ZahlungsZeitplan[[#This Row],['#]]&lt;&gt;"",PlanmäßigeZahlung,"")</f>
        <v>645.29573460105871</v>
      </c>
      <c r="F21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8" s="195">
        <f ca="1">IF(ZahlungsZeitplan[[#This Row],['#]]&lt;&gt;"",ZahlungsZeitplan[[#This Row],[GESAMTZAHLUNG]]-ZahlungsZeitplan[[#This Row],[ZINSEN]],"")</f>
        <v>536.86198667455733</v>
      </c>
      <c r="I218" s="195">
        <f ca="1">IF(ZahlungsZeitplan[[#This Row],['#]]&lt;=($D$8*12),IF(ZahlungsZeitplan[[#This Row],['#]]&lt;&gt;"",ZahlungsZeitplan[[#This Row],[ANFANGSSALDO]]*(ZinsSatz/ZahlungenProJahr),""),IF(ZahlungsZeitplan[[#This Row],['#]]&lt;&gt;"",ZahlungsZeitplan[[#This Row],[ANFANGSSALDO]]*((ZinsSatz+$D$9)/ZahlungenProJahr),""))</f>
        <v>108.4337479265014</v>
      </c>
      <c r="J218" s="195">
        <f ca="1">IF(ZahlungsZeitplan[[#This Row],['#]]&lt;&gt;"",IF(ZahlungsZeitplan[[#This Row],[Zahlungen (Plan)]]+ZahlungsZeitplan[[#This Row],[SONDERZAHLUNG]]&lt;=ZahlungsZeitplan[[#This Row],[ANFANGSSALDO]],ZahlungsZeitplan[[#This Row],[ANFANGSSALDO]]-ZahlungsZeitplan[[#This Row],[KAPITAL]],0),"")</f>
        <v>32074.791525055181</v>
      </c>
      <c r="K218" s="195">
        <f ca="1">IF(ZahlungsZeitplan[[#This Row],['#]]&lt;&gt;"",SUM(INDEX(ZahlungsZeitplan[ZINSEN],1,1):ZahlungsZeitplan[[#This Row],[ZINSEN]]),"")</f>
        <v>30505.417118272158</v>
      </c>
    </row>
    <row r="219" spans="2:11">
      <c r="B219" s="193">
        <f ca="1">IF(DarlehenIstGut,IF(ROW()-ROW(ZahlungsZeitplan[[#Headers],['#]])&gt;PlanmäßigeAnzahlZahlungen,"",ROW()-ROW(ZahlungsZeitplan[[#Headers],['#]])),"")</f>
        <v>206</v>
      </c>
      <c r="C219" s="194">
        <f ca="1">IF(ZahlungsZeitplan[[#This Row],['#]]&lt;&gt;"",EOMONTH(DarlehensAnfangsDatum,ROW(ZahlungsZeitplan[[#This Row],['#]])-ROW(ZahlungsZeitplan[[#Headers],['#]])-2)+DAY(DarlehensAnfangsDatum),"")</f>
        <v>51564</v>
      </c>
      <c r="D219" s="195">
        <f ca="1">IF(ZahlungsZeitplan[[#This Row],['#]]&lt;&gt;"",IF(ROW()-ROW(ZahlungsZeitplan[[#Headers],[ANFANGSSALDO]])=1,DarlehensBetrag,INDEX(ZahlungsZeitplan[ENDSALDO],ROW()-ROW(ZahlungsZeitplan[[#Headers],[ANFANGSSALDO]])-1)),"")</f>
        <v>32074.791525055181</v>
      </c>
      <c r="E219" s="195">
        <f ca="1">IF(ZahlungsZeitplan[[#This Row],['#]]&lt;&gt;"",PlanmäßigeZahlung,"")</f>
        <v>645.29573460105871</v>
      </c>
      <c r="F21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1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19" s="195">
        <f ca="1">IF(ZahlungsZeitplan[[#This Row],['#]]&lt;&gt;"",ZahlungsZeitplan[[#This Row],[GESAMTZAHLUNG]]-ZahlungsZeitplan[[#This Row],[ZINSEN]],"")</f>
        <v>538.64705278025019</v>
      </c>
      <c r="I219" s="195">
        <f ca="1">IF(ZahlungsZeitplan[[#This Row],['#]]&lt;=($D$8*12),IF(ZahlungsZeitplan[[#This Row],['#]]&lt;&gt;"",ZahlungsZeitplan[[#This Row],[ANFANGSSALDO]]*(ZinsSatz/ZahlungenProJahr),""),IF(ZahlungsZeitplan[[#This Row],['#]]&lt;&gt;"",ZahlungsZeitplan[[#This Row],[ANFANGSSALDO]]*((ZinsSatz+$D$9)/ZahlungenProJahr),""))</f>
        <v>106.64868182080849</v>
      </c>
      <c r="J219" s="195">
        <f ca="1">IF(ZahlungsZeitplan[[#This Row],['#]]&lt;&gt;"",IF(ZahlungsZeitplan[[#This Row],[Zahlungen (Plan)]]+ZahlungsZeitplan[[#This Row],[SONDERZAHLUNG]]&lt;=ZahlungsZeitplan[[#This Row],[ANFANGSSALDO]],ZahlungsZeitplan[[#This Row],[ANFANGSSALDO]]-ZahlungsZeitplan[[#This Row],[KAPITAL]],0),"")</f>
        <v>31536.144472274933</v>
      </c>
      <c r="K219" s="195">
        <f ca="1">IF(ZahlungsZeitplan[[#This Row],['#]]&lt;&gt;"",SUM(INDEX(ZahlungsZeitplan[ZINSEN],1,1):ZahlungsZeitplan[[#This Row],[ZINSEN]]),"")</f>
        <v>30612.065800092965</v>
      </c>
    </row>
    <row r="220" spans="2:11">
      <c r="B220" s="193">
        <f ca="1">IF(DarlehenIstGut,IF(ROW()-ROW(ZahlungsZeitplan[[#Headers],['#]])&gt;PlanmäßigeAnzahlZahlungen,"",ROW()-ROW(ZahlungsZeitplan[[#Headers],['#]])),"")</f>
        <v>207</v>
      </c>
      <c r="C220" s="194">
        <f ca="1">IF(ZahlungsZeitplan[[#This Row],['#]]&lt;&gt;"",EOMONTH(DarlehensAnfangsDatum,ROW(ZahlungsZeitplan[[#This Row],['#]])-ROW(ZahlungsZeitplan[[#Headers],['#]])-2)+DAY(DarlehensAnfangsDatum),"")</f>
        <v>51595</v>
      </c>
      <c r="D220" s="195">
        <f ca="1">IF(ZahlungsZeitplan[[#This Row],['#]]&lt;&gt;"",IF(ROW()-ROW(ZahlungsZeitplan[[#Headers],[ANFANGSSALDO]])=1,DarlehensBetrag,INDEX(ZahlungsZeitplan[ENDSALDO],ROW()-ROW(ZahlungsZeitplan[[#Headers],[ANFANGSSALDO]])-1)),"")</f>
        <v>31536.144472274933</v>
      </c>
      <c r="E220" s="195">
        <f ca="1">IF(ZahlungsZeitplan[[#This Row],['#]]&lt;&gt;"",PlanmäßigeZahlung,"")</f>
        <v>645.29573460105871</v>
      </c>
      <c r="F22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0" s="195">
        <f ca="1">IF(ZahlungsZeitplan[[#This Row],['#]]&lt;&gt;"",ZahlungsZeitplan[[#This Row],[GESAMTZAHLUNG]]-ZahlungsZeitplan[[#This Row],[ZINSEN]],"")</f>
        <v>540.43805423074457</v>
      </c>
      <c r="I220" s="195">
        <f ca="1">IF(ZahlungsZeitplan[[#This Row],['#]]&lt;=($D$8*12),IF(ZahlungsZeitplan[[#This Row],['#]]&lt;&gt;"",ZahlungsZeitplan[[#This Row],[ANFANGSSALDO]]*(ZinsSatz/ZahlungenProJahr),""),IF(ZahlungsZeitplan[[#This Row],['#]]&lt;&gt;"",ZahlungsZeitplan[[#This Row],[ANFANGSSALDO]]*((ZinsSatz+$D$9)/ZahlungenProJahr),""))</f>
        <v>104.85768037031416</v>
      </c>
      <c r="J220" s="195">
        <f ca="1">IF(ZahlungsZeitplan[[#This Row],['#]]&lt;&gt;"",IF(ZahlungsZeitplan[[#This Row],[Zahlungen (Plan)]]+ZahlungsZeitplan[[#This Row],[SONDERZAHLUNG]]&lt;=ZahlungsZeitplan[[#This Row],[ANFANGSSALDO]],ZahlungsZeitplan[[#This Row],[ANFANGSSALDO]]-ZahlungsZeitplan[[#This Row],[KAPITAL]],0),"")</f>
        <v>30995.706418044188</v>
      </c>
      <c r="K220" s="195">
        <f ca="1">IF(ZahlungsZeitplan[[#This Row],['#]]&lt;&gt;"",SUM(INDEX(ZahlungsZeitplan[ZINSEN],1,1):ZahlungsZeitplan[[#This Row],[ZINSEN]]),"")</f>
        <v>30716.92348046328</v>
      </c>
    </row>
    <row r="221" spans="2:11">
      <c r="B221" s="193">
        <f ca="1">IF(DarlehenIstGut,IF(ROW()-ROW(ZahlungsZeitplan[[#Headers],['#]])&gt;PlanmäßigeAnzahlZahlungen,"",ROW()-ROW(ZahlungsZeitplan[[#Headers],['#]])),"")</f>
        <v>208</v>
      </c>
      <c r="C221" s="194">
        <f ca="1">IF(ZahlungsZeitplan[[#This Row],['#]]&lt;&gt;"",EOMONTH(DarlehensAnfangsDatum,ROW(ZahlungsZeitplan[[#This Row],['#]])-ROW(ZahlungsZeitplan[[#Headers],['#]])-2)+DAY(DarlehensAnfangsDatum),"")</f>
        <v>51625</v>
      </c>
      <c r="D221" s="195">
        <f ca="1">IF(ZahlungsZeitplan[[#This Row],['#]]&lt;&gt;"",IF(ROW()-ROW(ZahlungsZeitplan[[#Headers],[ANFANGSSALDO]])=1,DarlehensBetrag,INDEX(ZahlungsZeitplan[ENDSALDO],ROW()-ROW(ZahlungsZeitplan[[#Headers],[ANFANGSSALDO]])-1)),"")</f>
        <v>30995.706418044188</v>
      </c>
      <c r="E221" s="195">
        <f ca="1">IF(ZahlungsZeitplan[[#This Row],['#]]&lt;&gt;"",PlanmäßigeZahlung,"")</f>
        <v>645.29573460105871</v>
      </c>
      <c r="F22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1" s="195">
        <f ca="1">IF(ZahlungsZeitplan[[#This Row],['#]]&lt;&gt;"",ZahlungsZeitplan[[#This Row],[GESAMTZAHLUNG]]-ZahlungsZeitplan[[#This Row],[ZINSEN]],"")</f>
        <v>542.23501076106174</v>
      </c>
      <c r="I221" s="195">
        <f ca="1">IF(ZahlungsZeitplan[[#This Row],['#]]&lt;=($D$8*12),IF(ZahlungsZeitplan[[#This Row],['#]]&lt;&gt;"",ZahlungsZeitplan[[#This Row],[ANFANGSSALDO]]*(ZinsSatz/ZahlungenProJahr),""),IF(ZahlungsZeitplan[[#This Row],['#]]&lt;&gt;"",ZahlungsZeitplan[[#This Row],[ANFANGSSALDO]]*((ZinsSatz+$D$9)/ZahlungenProJahr),""))</f>
        <v>103.06072383999694</v>
      </c>
      <c r="J221" s="195">
        <f ca="1">IF(ZahlungsZeitplan[[#This Row],['#]]&lt;&gt;"",IF(ZahlungsZeitplan[[#This Row],[Zahlungen (Plan)]]+ZahlungsZeitplan[[#This Row],[SONDERZAHLUNG]]&lt;=ZahlungsZeitplan[[#This Row],[ANFANGSSALDO]],ZahlungsZeitplan[[#This Row],[ANFANGSSALDO]]-ZahlungsZeitplan[[#This Row],[KAPITAL]],0),"")</f>
        <v>30453.471407283127</v>
      </c>
      <c r="K221" s="195">
        <f ca="1">IF(ZahlungsZeitplan[[#This Row],['#]]&lt;&gt;"",SUM(INDEX(ZahlungsZeitplan[ZINSEN],1,1):ZahlungsZeitplan[[#This Row],[ZINSEN]]),"")</f>
        <v>30819.984204303277</v>
      </c>
    </row>
    <row r="222" spans="2:11">
      <c r="B222" s="193">
        <f ca="1">IF(DarlehenIstGut,IF(ROW()-ROW(ZahlungsZeitplan[[#Headers],['#]])&gt;PlanmäßigeAnzahlZahlungen,"",ROW()-ROW(ZahlungsZeitplan[[#Headers],['#]])),"")</f>
        <v>209</v>
      </c>
      <c r="C222" s="194">
        <f ca="1">IF(ZahlungsZeitplan[[#This Row],['#]]&lt;&gt;"",EOMONTH(DarlehensAnfangsDatum,ROW(ZahlungsZeitplan[[#This Row],['#]])-ROW(ZahlungsZeitplan[[#Headers],['#]])-2)+DAY(DarlehensAnfangsDatum),"")</f>
        <v>51656</v>
      </c>
      <c r="D222" s="195">
        <f ca="1">IF(ZahlungsZeitplan[[#This Row],['#]]&lt;&gt;"",IF(ROW()-ROW(ZahlungsZeitplan[[#Headers],[ANFANGSSALDO]])=1,DarlehensBetrag,INDEX(ZahlungsZeitplan[ENDSALDO],ROW()-ROW(ZahlungsZeitplan[[#Headers],[ANFANGSSALDO]])-1)),"")</f>
        <v>30453.471407283127</v>
      </c>
      <c r="E222" s="195">
        <f ca="1">IF(ZahlungsZeitplan[[#This Row],['#]]&lt;&gt;"",PlanmäßigeZahlung,"")</f>
        <v>645.29573460105871</v>
      </c>
      <c r="F22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2" s="195">
        <f ca="1">IF(ZahlungsZeitplan[[#This Row],['#]]&lt;&gt;"",ZahlungsZeitplan[[#This Row],[GESAMTZAHLUNG]]-ZahlungsZeitplan[[#This Row],[ZINSEN]],"")</f>
        <v>544.03794217184236</v>
      </c>
      <c r="I222" s="195">
        <f ca="1">IF(ZahlungsZeitplan[[#This Row],['#]]&lt;=($D$8*12),IF(ZahlungsZeitplan[[#This Row],['#]]&lt;&gt;"",ZahlungsZeitplan[[#This Row],[ANFANGSSALDO]]*(ZinsSatz/ZahlungenProJahr),""),IF(ZahlungsZeitplan[[#This Row],['#]]&lt;&gt;"",ZahlungsZeitplan[[#This Row],[ANFANGSSALDO]]*((ZinsSatz+$D$9)/ZahlungenProJahr),""))</f>
        <v>101.25779242921641</v>
      </c>
      <c r="J222" s="195">
        <f ca="1">IF(ZahlungsZeitplan[[#This Row],['#]]&lt;&gt;"",IF(ZahlungsZeitplan[[#This Row],[Zahlungen (Plan)]]+ZahlungsZeitplan[[#This Row],[SONDERZAHLUNG]]&lt;=ZahlungsZeitplan[[#This Row],[ANFANGSSALDO]],ZahlungsZeitplan[[#This Row],[ANFANGSSALDO]]-ZahlungsZeitplan[[#This Row],[KAPITAL]],0),"")</f>
        <v>29909.433465111284</v>
      </c>
      <c r="K222" s="195">
        <f ca="1">IF(ZahlungsZeitplan[[#This Row],['#]]&lt;&gt;"",SUM(INDEX(ZahlungsZeitplan[ZINSEN],1,1):ZahlungsZeitplan[[#This Row],[ZINSEN]]),"")</f>
        <v>30921.241996732493</v>
      </c>
    </row>
    <row r="223" spans="2:11">
      <c r="B223" s="193">
        <f ca="1">IF(DarlehenIstGut,IF(ROW()-ROW(ZahlungsZeitplan[[#Headers],['#]])&gt;PlanmäßigeAnzahlZahlungen,"",ROW()-ROW(ZahlungsZeitplan[[#Headers],['#]])),"")</f>
        <v>210</v>
      </c>
      <c r="C223" s="194">
        <f ca="1">IF(ZahlungsZeitplan[[#This Row],['#]]&lt;&gt;"",EOMONTH(DarlehensAnfangsDatum,ROW(ZahlungsZeitplan[[#This Row],['#]])-ROW(ZahlungsZeitplan[[#Headers],['#]])-2)+DAY(DarlehensAnfangsDatum),"")</f>
        <v>51686</v>
      </c>
      <c r="D223" s="195">
        <f ca="1">IF(ZahlungsZeitplan[[#This Row],['#]]&lt;&gt;"",IF(ROW()-ROW(ZahlungsZeitplan[[#Headers],[ANFANGSSALDO]])=1,DarlehensBetrag,INDEX(ZahlungsZeitplan[ENDSALDO],ROW()-ROW(ZahlungsZeitplan[[#Headers],[ANFANGSSALDO]])-1)),"")</f>
        <v>29909.433465111284</v>
      </c>
      <c r="E223" s="195">
        <f ca="1">IF(ZahlungsZeitplan[[#This Row],['#]]&lt;&gt;"",PlanmäßigeZahlung,"")</f>
        <v>645.29573460105871</v>
      </c>
      <c r="F22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3" s="195">
        <f ca="1">IF(ZahlungsZeitplan[[#This Row],['#]]&lt;&gt;"",ZahlungsZeitplan[[#This Row],[GESAMTZAHLUNG]]-ZahlungsZeitplan[[#This Row],[ZINSEN]],"")</f>
        <v>545.84686832956368</v>
      </c>
      <c r="I223" s="195">
        <f ca="1">IF(ZahlungsZeitplan[[#This Row],['#]]&lt;=($D$8*12),IF(ZahlungsZeitplan[[#This Row],['#]]&lt;&gt;"",ZahlungsZeitplan[[#This Row],[ANFANGSSALDO]]*(ZinsSatz/ZahlungenProJahr),""),IF(ZahlungsZeitplan[[#This Row],['#]]&lt;&gt;"",ZahlungsZeitplan[[#This Row],[ANFANGSSALDO]]*((ZinsSatz+$D$9)/ZahlungenProJahr),""))</f>
        <v>99.448866271495021</v>
      </c>
      <c r="J223" s="195">
        <f ca="1">IF(ZahlungsZeitplan[[#This Row],['#]]&lt;&gt;"",IF(ZahlungsZeitplan[[#This Row],[Zahlungen (Plan)]]+ZahlungsZeitplan[[#This Row],[SONDERZAHLUNG]]&lt;=ZahlungsZeitplan[[#This Row],[ANFANGSSALDO]],ZahlungsZeitplan[[#This Row],[ANFANGSSALDO]]-ZahlungsZeitplan[[#This Row],[KAPITAL]],0),"")</f>
        <v>29363.586596781719</v>
      </c>
      <c r="K223" s="195">
        <f ca="1">IF(ZahlungsZeitplan[[#This Row],['#]]&lt;&gt;"",SUM(INDEX(ZahlungsZeitplan[ZINSEN],1,1):ZahlungsZeitplan[[#This Row],[ZINSEN]]),"")</f>
        <v>31020.690863003987</v>
      </c>
    </row>
    <row r="224" spans="2:11">
      <c r="B224" s="193">
        <f ca="1">IF(DarlehenIstGut,IF(ROW()-ROW(ZahlungsZeitplan[[#Headers],['#]])&gt;PlanmäßigeAnzahlZahlungen,"",ROW()-ROW(ZahlungsZeitplan[[#Headers],['#]])),"")</f>
        <v>211</v>
      </c>
      <c r="C224" s="194">
        <f ca="1">IF(ZahlungsZeitplan[[#This Row],['#]]&lt;&gt;"",EOMONTH(DarlehensAnfangsDatum,ROW(ZahlungsZeitplan[[#This Row],['#]])-ROW(ZahlungsZeitplan[[#Headers],['#]])-2)+DAY(DarlehensAnfangsDatum),"")</f>
        <v>51717</v>
      </c>
      <c r="D224" s="195">
        <f ca="1">IF(ZahlungsZeitplan[[#This Row],['#]]&lt;&gt;"",IF(ROW()-ROW(ZahlungsZeitplan[[#Headers],[ANFANGSSALDO]])=1,DarlehensBetrag,INDEX(ZahlungsZeitplan[ENDSALDO],ROW()-ROW(ZahlungsZeitplan[[#Headers],[ANFANGSSALDO]])-1)),"")</f>
        <v>29363.586596781719</v>
      </c>
      <c r="E224" s="195">
        <f ca="1">IF(ZahlungsZeitplan[[#This Row],['#]]&lt;&gt;"",PlanmäßigeZahlung,"")</f>
        <v>645.29573460105871</v>
      </c>
      <c r="F22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4" s="195">
        <f ca="1">IF(ZahlungsZeitplan[[#This Row],['#]]&lt;&gt;"",ZahlungsZeitplan[[#This Row],[GESAMTZAHLUNG]]-ZahlungsZeitplan[[#This Row],[ZINSEN]],"")</f>
        <v>547.66180916675944</v>
      </c>
      <c r="I224" s="195">
        <f ca="1">IF(ZahlungsZeitplan[[#This Row],['#]]&lt;=($D$8*12),IF(ZahlungsZeitplan[[#This Row],['#]]&lt;&gt;"",ZahlungsZeitplan[[#This Row],[ANFANGSSALDO]]*(ZinsSatz/ZahlungenProJahr),""),IF(ZahlungsZeitplan[[#This Row],['#]]&lt;&gt;"",ZahlungsZeitplan[[#This Row],[ANFANGSSALDO]]*((ZinsSatz+$D$9)/ZahlungenProJahr),""))</f>
        <v>97.633925434299229</v>
      </c>
      <c r="J224" s="195">
        <f ca="1">IF(ZahlungsZeitplan[[#This Row],['#]]&lt;&gt;"",IF(ZahlungsZeitplan[[#This Row],[Zahlungen (Plan)]]+ZahlungsZeitplan[[#This Row],[SONDERZAHLUNG]]&lt;=ZahlungsZeitplan[[#This Row],[ANFANGSSALDO]],ZahlungsZeitplan[[#This Row],[ANFANGSSALDO]]-ZahlungsZeitplan[[#This Row],[KAPITAL]],0),"")</f>
        <v>28815.92478761496</v>
      </c>
      <c r="K224" s="195">
        <f ca="1">IF(ZahlungsZeitplan[[#This Row],['#]]&lt;&gt;"",SUM(INDEX(ZahlungsZeitplan[ZINSEN],1,1):ZahlungsZeitplan[[#This Row],[ZINSEN]]),"")</f>
        <v>31118.324788438287</v>
      </c>
    </row>
    <row r="225" spans="2:11">
      <c r="B225" s="193">
        <f ca="1">IF(DarlehenIstGut,IF(ROW()-ROW(ZahlungsZeitplan[[#Headers],['#]])&gt;PlanmäßigeAnzahlZahlungen,"",ROW()-ROW(ZahlungsZeitplan[[#Headers],['#]])),"")</f>
        <v>212</v>
      </c>
      <c r="C225" s="194">
        <f ca="1">IF(ZahlungsZeitplan[[#This Row],['#]]&lt;&gt;"",EOMONTH(DarlehensAnfangsDatum,ROW(ZahlungsZeitplan[[#This Row],['#]])-ROW(ZahlungsZeitplan[[#Headers],['#]])-2)+DAY(DarlehensAnfangsDatum),"")</f>
        <v>51748</v>
      </c>
      <c r="D225" s="195">
        <f ca="1">IF(ZahlungsZeitplan[[#This Row],['#]]&lt;&gt;"",IF(ROW()-ROW(ZahlungsZeitplan[[#Headers],[ANFANGSSALDO]])=1,DarlehensBetrag,INDEX(ZahlungsZeitplan[ENDSALDO],ROW()-ROW(ZahlungsZeitplan[[#Headers],[ANFANGSSALDO]])-1)),"")</f>
        <v>28815.92478761496</v>
      </c>
      <c r="E225" s="195">
        <f ca="1">IF(ZahlungsZeitplan[[#This Row],['#]]&lt;&gt;"",PlanmäßigeZahlung,"")</f>
        <v>645.29573460105871</v>
      </c>
      <c r="F22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5" s="195">
        <f ca="1">IF(ZahlungsZeitplan[[#This Row],['#]]&lt;&gt;"",ZahlungsZeitplan[[#This Row],[GESAMTZAHLUNG]]-ZahlungsZeitplan[[#This Row],[ZINSEN]],"")</f>
        <v>549.48278468223896</v>
      </c>
      <c r="I225" s="195">
        <f ca="1">IF(ZahlungsZeitplan[[#This Row],['#]]&lt;=($D$8*12),IF(ZahlungsZeitplan[[#This Row],['#]]&lt;&gt;"",ZahlungsZeitplan[[#This Row],[ANFANGSSALDO]]*(ZinsSatz/ZahlungenProJahr),""),IF(ZahlungsZeitplan[[#This Row],['#]]&lt;&gt;"",ZahlungsZeitplan[[#This Row],[ANFANGSSALDO]]*((ZinsSatz+$D$9)/ZahlungenProJahr),""))</f>
        <v>95.812949918819754</v>
      </c>
      <c r="J225" s="195">
        <f ca="1">IF(ZahlungsZeitplan[[#This Row],['#]]&lt;&gt;"",IF(ZahlungsZeitplan[[#This Row],[Zahlungen (Plan)]]+ZahlungsZeitplan[[#This Row],[SONDERZAHLUNG]]&lt;=ZahlungsZeitplan[[#This Row],[ANFANGSSALDO]],ZahlungsZeitplan[[#This Row],[ANFANGSSALDO]]-ZahlungsZeitplan[[#This Row],[KAPITAL]],0),"")</f>
        <v>28266.442002932723</v>
      </c>
      <c r="K225" s="195">
        <f ca="1">IF(ZahlungsZeitplan[[#This Row],['#]]&lt;&gt;"",SUM(INDEX(ZahlungsZeitplan[ZINSEN],1,1):ZahlungsZeitplan[[#This Row],[ZINSEN]]),"")</f>
        <v>31214.137738357105</v>
      </c>
    </row>
    <row r="226" spans="2:11">
      <c r="B226" s="193">
        <f ca="1">IF(DarlehenIstGut,IF(ROW()-ROW(ZahlungsZeitplan[[#Headers],['#]])&gt;PlanmäßigeAnzahlZahlungen,"",ROW()-ROW(ZahlungsZeitplan[[#Headers],['#]])),"")</f>
        <v>213</v>
      </c>
      <c r="C226" s="194">
        <f ca="1">IF(ZahlungsZeitplan[[#This Row],['#]]&lt;&gt;"",EOMONTH(DarlehensAnfangsDatum,ROW(ZahlungsZeitplan[[#This Row],['#]])-ROW(ZahlungsZeitplan[[#Headers],['#]])-2)+DAY(DarlehensAnfangsDatum),"")</f>
        <v>51778</v>
      </c>
      <c r="D226" s="195">
        <f ca="1">IF(ZahlungsZeitplan[[#This Row],['#]]&lt;&gt;"",IF(ROW()-ROW(ZahlungsZeitplan[[#Headers],[ANFANGSSALDO]])=1,DarlehensBetrag,INDEX(ZahlungsZeitplan[ENDSALDO],ROW()-ROW(ZahlungsZeitplan[[#Headers],[ANFANGSSALDO]])-1)),"")</f>
        <v>28266.442002932723</v>
      </c>
      <c r="E226" s="195">
        <f ca="1">IF(ZahlungsZeitplan[[#This Row],['#]]&lt;&gt;"",PlanmäßigeZahlung,"")</f>
        <v>645.29573460105871</v>
      </c>
      <c r="F22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6" s="195">
        <f ca="1">IF(ZahlungsZeitplan[[#This Row],['#]]&lt;&gt;"",ZahlungsZeitplan[[#This Row],[GESAMTZAHLUNG]]-ZahlungsZeitplan[[#This Row],[ZINSEN]],"")</f>
        <v>551.30981494130742</v>
      </c>
      <c r="I226" s="195">
        <f ca="1">IF(ZahlungsZeitplan[[#This Row],['#]]&lt;=($D$8*12),IF(ZahlungsZeitplan[[#This Row],['#]]&lt;&gt;"",ZahlungsZeitplan[[#This Row],[ANFANGSSALDO]]*(ZinsSatz/ZahlungenProJahr),""),IF(ZahlungsZeitplan[[#This Row],['#]]&lt;&gt;"",ZahlungsZeitplan[[#This Row],[ANFANGSSALDO]]*((ZinsSatz+$D$9)/ZahlungenProJahr),""))</f>
        <v>93.985919659751318</v>
      </c>
      <c r="J226" s="195">
        <f ca="1">IF(ZahlungsZeitplan[[#This Row],['#]]&lt;&gt;"",IF(ZahlungsZeitplan[[#This Row],[Zahlungen (Plan)]]+ZahlungsZeitplan[[#This Row],[SONDERZAHLUNG]]&lt;=ZahlungsZeitplan[[#This Row],[ANFANGSSALDO]],ZahlungsZeitplan[[#This Row],[ANFANGSSALDO]]-ZahlungsZeitplan[[#This Row],[KAPITAL]],0),"")</f>
        <v>27715.132187991414</v>
      </c>
      <c r="K226" s="195">
        <f ca="1">IF(ZahlungsZeitplan[[#This Row],['#]]&lt;&gt;"",SUM(INDEX(ZahlungsZeitplan[ZINSEN],1,1):ZahlungsZeitplan[[#This Row],[ZINSEN]]),"")</f>
        <v>31308.123658016855</v>
      </c>
    </row>
    <row r="227" spans="2:11">
      <c r="B227" s="193">
        <f ca="1">IF(DarlehenIstGut,IF(ROW()-ROW(ZahlungsZeitplan[[#Headers],['#]])&gt;PlanmäßigeAnzahlZahlungen,"",ROW()-ROW(ZahlungsZeitplan[[#Headers],['#]])),"")</f>
        <v>214</v>
      </c>
      <c r="C227" s="194">
        <f ca="1">IF(ZahlungsZeitplan[[#This Row],['#]]&lt;&gt;"",EOMONTH(DarlehensAnfangsDatum,ROW(ZahlungsZeitplan[[#This Row],['#]])-ROW(ZahlungsZeitplan[[#Headers],['#]])-2)+DAY(DarlehensAnfangsDatum),"")</f>
        <v>51809</v>
      </c>
      <c r="D227" s="195">
        <f ca="1">IF(ZahlungsZeitplan[[#This Row],['#]]&lt;&gt;"",IF(ROW()-ROW(ZahlungsZeitplan[[#Headers],[ANFANGSSALDO]])=1,DarlehensBetrag,INDEX(ZahlungsZeitplan[ENDSALDO],ROW()-ROW(ZahlungsZeitplan[[#Headers],[ANFANGSSALDO]])-1)),"")</f>
        <v>27715.132187991414</v>
      </c>
      <c r="E227" s="195">
        <f ca="1">IF(ZahlungsZeitplan[[#This Row],['#]]&lt;&gt;"",PlanmäßigeZahlung,"")</f>
        <v>645.29573460105871</v>
      </c>
      <c r="F22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7" s="195">
        <f ca="1">IF(ZahlungsZeitplan[[#This Row],['#]]&lt;&gt;"",ZahlungsZeitplan[[#This Row],[GESAMTZAHLUNG]]-ZahlungsZeitplan[[#This Row],[ZINSEN]],"")</f>
        <v>553.14292007598726</v>
      </c>
      <c r="I227" s="195">
        <f ca="1">IF(ZahlungsZeitplan[[#This Row],['#]]&lt;=($D$8*12),IF(ZahlungsZeitplan[[#This Row],['#]]&lt;&gt;"",ZahlungsZeitplan[[#This Row],[ANFANGSSALDO]]*(ZinsSatz/ZahlungenProJahr),""),IF(ZahlungsZeitplan[[#This Row],['#]]&lt;&gt;"",ZahlungsZeitplan[[#This Row],[ANFANGSSALDO]]*((ZinsSatz+$D$9)/ZahlungenProJahr),""))</f>
        <v>92.152814525071463</v>
      </c>
      <c r="J227" s="195">
        <f ca="1">IF(ZahlungsZeitplan[[#This Row],['#]]&lt;&gt;"",IF(ZahlungsZeitplan[[#This Row],[Zahlungen (Plan)]]+ZahlungsZeitplan[[#This Row],[SONDERZAHLUNG]]&lt;=ZahlungsZeitplan[[#This Row],[ANFANGSSALDO]],ZahlungsZeitplan[[#This Row],[ANFANGSSALDO]]-ZahlungsZeitplan[[#This Row],[KAPITAL]],0),"")</f>
        <v>27161.989267915425</v>
      </c>
      <c r="K227" s="195">
        <f ca="1">IF(ZahlungsZeitplan[[#This Row],['#]]&lt;&gt;"",SUM(INDEX(ZahlungsZeitplan[ZINSEN],1,1):ZahlungsZeitplan[[#This Row],[ZINSEN]]),"")</f>
        <v>31400.276472541926</v>
      </c>
    </row>
    <row r="228" spans="2:11">
      <c r="B228" s="193">
        <f ca="1">IF(DarlehenIstGut,IF(ROW()-ROW(ZahlungsZeitplan[[#Headers],['#]])&gt;PlanmäßigeAnzahlZahlungen,"",ROW()-ROW(ZahlungsZeitplan[[#Headers],['#]])),"")</f>
        <v>215</v>
      </c>
      <c r="C228" s="194">
        <f ca="1">IF(ZahlungsZeitplan[[#This Row],['#]]&lt;&gt;"",EOMONTH(DarlehensAnfangsDatum,ROW(ZahlungsZeitplan[[#This Row],['#]])-ROW(ZahlungsZeitplan[[#Headers],['#]])-2)+DAY(DarlehensAnfangsDatum),"")</f>
        <v>51839</v>
      </c>
      <c r="D228" s="195">
        <f ca="1">IF(ZahlungsZeitplan[[#This Row],['#]]&lt;&gt;"",IF(ROW()-ROW(ZahlungsZeitplan[[#Headers],[ANFANGSSALDO]])=1,DarlehensBetrag,INDEX(ZahlungsZeitplan[ENDSALDO],ROW()-ROW(ZahlungsZeitplan[[#Headers],[ANFANGSSALDO]])-1)),"")</f>
        <v>27161.989267915425</v>
      </c>
      <c r="E228" s="195">
        <f ca="1">IF(ZahlungsZeitplan[[#This Row],['#]]&lt;&gt;"",PlanmäßigeZahlung,"")</f>
        <v>645.29573460105871</v>
      </c>
      <c r="F22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8" s="195">
        <f ca="1">IF(ZahlungsZeitplan[[#This Row],['#]]&lt;&gt;"",ZahlungsZeitplan[[#This Row],[GESAMTZAHLUNG]]-ZahlungsZeitplan[[#This Row],[ZINSEN]],"")</f>
        <v>554.98212028523994</v>
      </c>
      <c r="I228" s="195">
        <f ca="1">IF(ZahlungsZeitplan[[#This Row],['#]]&lt;=($D$8*12),IF(ZahlungsZeitplan[[#This Row],['#]]&lt;&gt;"",ZahlungsZeitplan[[#This Row],[ANFANGSSALDO]]*(ZinsSatz/ZahlungenProJahr),""),IF(ZahlungsZeitplan[[#This Row],['#]]&lt;&gt;"",ZahlungsZeitplan[[#This Row],[ANFANGSSALDO]]*((ZinsSatz+$D$9)/ZahlungenProJahr),""))</f>
        <v>90.313614315818796</v>
      </c>
      <c r="J228" s="195">
        <f ca="1">IF(ZahlungsZeitplan[[#This Row],['#]]&lt;&gt;"",IF(ZahlungsZeitplan[[#This Row],[Zahlungen (Plan)]]+ZahlungsZeitplan[[#This Row],[SONDERZAHLUNG]]&lt;=ZahlungsZeitplan[[#This Row],[ANFANGSSALDO]],ZahlungsZeitplan[[#This Row],[ANFANGSSALDO]]-ZahlungsZeitplan[[#This Row],[KAPITAL]],0),"")</f>
        <v>26607.007147630186</v>
      </c>
      <c r="K228" s="195">
        <f ca="1">IF(ZahlungsZeitplan[[#This Row],['#]]&lt;&gt;"",SUM(INDEX(ZahlungsZeitplan[ZINSEN],1,1):ZahlungsZeitplan[[#This Row],[ZINSEN]]),"")</f>
        <v>31490.590086857745</v>
      </c>
    </row>
    <row r="229" spans="2:11">
      <c r="B229" s="193">
        <f ca="1">IF(DarlehenIstGut,IF(ROW()-ROW(ZahlungsZeitplan[[#Headers],['#]])&gt;PlanmäßigeAnzahlZahlungen,"",ROW()-ROW(ZahlungsZeitplan[[#Headers],['#]])),"")</f>
        <v>216</v>
      </c>
      <c r="C229" s="194">
        <f ca="1">IF(ZahlungsZeitplan[[#This Row],['#]]&lt;&gt;"",EOMONTH(DarlehensAnfangsDatum,ROW(ZahlungsZeitplan[[#This Row],['#]])-ROW(ZahlungsZeitplan[[#Headers],['#]])-2)+DAY(DarlehensAnfangsDatum),"")</f>
        <v>51870</v>
      </c>
      <c r="D229" s="195">
        <f ca="1">IF(ZahlungsZeitplan[[#This Row],['#]]&lt;&gt;"",IF(ROW()-ROW(ZahlungsZeitplan[[#Headers],[ANFANGSSALDO]])=1,DarlehensBetrag,INDEX(ZahlungsZeitplan[ENDSALDO],ROW()-ROW(ZahlungsZeitplan[[#Headers],[ANFANGSSALDO]])-1)),"")</f>
        <v>26607.007147630186</v>
      </c>
      <c r="E229" s="195">
        <f ca="1">IF(ZahlungsZeitplan[[#This Row],['#]]&lt;&gt;"",PlanmäßigeZahlung,"")</f>
        <v>645.29573460105871</v>
      </c>
      <c r="F22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2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29" s="195">
        <f ca="1">IF(ZahlungsZeitplan[[#This Row],['#]]&lt;&gt;"",ZahlungsZeitplan[[#This Row],[GESAMTZAHLUNG]]-ZahlungsZeitplan[[#This Row],[ZINSEN]],"")</f>
        <v>556.82743583518834</v>
      </c>
      <c r="I229" s="195">
        <f ca="1">IF(ZahlungsZeitplan[[#This Row],['#]]&lt;=($D$8*12),IF(ZahlungsZeitplan[[#This Row],['#]]&lt;&gt;"",ZahlungsZeitplan[[#This Row],[ANFANGSSALDO]]*(ZinsSatz/ZahlungenProJahr),""),IF(ZahlungsZeitplan[[#This Row],['#]]&lt;&gt;"",ZahlungsZeitplan[[#This Row],[ANFANGSSALDO]]*((ZinsSatz+$D$9)/ZahlungenProJahr),""))</f>
        <v>88.468298765870372</v>
      </c>
      <c r="J229" s="195">
        <f ca="1">IF(ZahlungsZeitplan[[#This Row],['#]]&lt;&gt;"",IF(ZahlungsZeitplan[[#This Row],[Zahlungen (Plan)]]+ZahlungsZeitplan[[#This Row],[SONDERZAHLUNG]]&lt;=ZahlungsZeitplan[[#This Row],[ANFANGSSALDO]],ZahlungsZeitplan[[#This Row],[ANFANGSSALDO]]-ZahlungsZeitplan[[#This Row],[KAPITAL]],0),"")</f>
        <v>26050.179711794997</v>
      </c>
      <c r="K229" s="195">
        <f ca="1">IF(ZahlungsZeitplan[[#This Row],['#]]&lt;&gt;"",SUM(INDEX(ZahlungsZeitplan[ZINSEN],1,1):ZahlungsZeitplan[[#This Row],[ZINSEN]]),"")</f>
        <v>31579.058385623615</v>
      </c>
    </row>
    <row r="230" spans="2:11">
      <c r="B230" s="193">
        <f ca="1">IF(DarlehenIstGut,IF(ROW()-ROW(ZahlungsZeitplan[[#Headers],['#]])&gt;PlanmäßigeAnzahlZahlungen,"",ROW()-ROW(ZahlungsZeitplan[[#Headers],['#]])),"")</f>
        <v>217</v>
      </c>
      <c r="C230" s="194">
        <f ca="1">IF(ZahlungsZeitplan[[#This Row],['#]]&lt;&gt;"",EOMONTH(DarlehensAnfangsDatum,ROW(ZahlungsZeitplan[[#This Row],['#]])-ROW(ZahlungsZeitplan[[#Headers],['#]])-2)+DAY(DarlehensAnfangsDatum),"")</f>
        <v>51901</v>
      </c>
      <c r="D230" s="195">
        <f ca="1">IF(ZahlungsZeitplan[[#This Row],['#]]&lt;&gt;"",IF(ROW()-ROW(ZahlungsZeitplan[[#Headers],[ANFANGSSALDO]])=1,DarlehensBetrag,INDEX(ZahlungsZeitplan[ENDSALDO],ROW()-ROW(ZahlungsZeitplan[[#Headers],[ANFANGSSALDO]])-1)),"")</f>
        <v>26050.179711794997</v>
      </c>
      <c r="E230" s="195">
        <f ca="1">IF(ZahlungsZeitplan[[#This Row],['#]]&lt;&gt;"",PlanmäßigeZahlung,"")</f>
        <v>645.29573460105871</v>
      </c>
      <c r="F23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0" s="195">
        <f ca="1">IF(ZahlungsZeitplan[[#This Row],['#]]&lt;&gt;"",ZahlungsZeitplan[[#This Row],[GESAMTZAHLUNG]]-ZahlungsZeitplan[[#This Row],[ZINSEN]],"")</f>
        <v>558.67888705934035</v>
      </c>
      <c r="I230" s="195">
        <f ca="1">IF(ZahlungsZeitplan[[#This Row],['#]]&lt;=($D$8*12),IF(ZahlungsZeitplan[[#This Row],['#]]&lt;&gt;"",ZahlungsZeitplan[[#This Row],[ANFANGSSALDO]]*(ZinsSatz/ZahlungenProJahr),""),IF(ZahlungsZeitplan[[#This Row],['#]]&lt;&gt;"",ZahlungsZeitplan[[#This Row],[ANFANGSSALDO]]*((ZinsSatz+$D$9)/ZahlungenProJahr),""))</f>
        <v>86.616847541718371</v>
      </c>
      <c r="J230" s="195">
        <f ca="1">IF(ZahlungsZeitplan[[#This Row],['#]]&lt;&gt;"",IF(ZahlungsZeitplan[[#This Row],[Zahlungen (Plan)]]+ZahlungsZeitplan[[#This Row],[SONDERZAHLUNG]]&lt;=ZahlungsZeitplan[[#This Row],[ANFANGSSALDO]],ZahlungsZeitplan[[#This Row],[ANFANGSSALDO]]-ZahlungsZeitplan[[#This Row],[KAPITAL]],0),"")</f>
        <v>25491.500824735656</v>
      </c>
      <c r="K230" s="195">
        <f ca="1">IF(ZahlungsZeitplan[[#This Row],['#]]&lt;&gt;"",SUM(INDEX(ZahlungsZeitplan[ZINSEN],1,1):ZahlungsZeitplan[[#This Row],[ZINSEN]]),"")</f>
        <v>31665.675233165333</v>
      </c>
    </row>
    <row r="231" spans="2:11">
      <c r="B231" s="193">
        <f ca="1">IF(DarlehenIstGut,IF(ROW()-ROW(ZahlungsZeitplan[[#Headers],['#]])&gt;PlanmäßigeAnzahlZahlungen,"",ROW()-ROW(ZahlungsZeitplan[[#Headers],['#]])),"")</f>
        <v>218</v>
      </c>
      <c r="C231" s="194">
        <f ca="1">IF(ZahlungsZeitplan[[#This Row],['#]]&lt;&gt;"",EOMONTH(DarlehensAnfangsDatum,ROW(ZahlungsZeitplan[[#This Row],['#]])-ROW(ZahlungsZeitplan[[#Headers],['#]])-2)+DAY(DarlehensAnfangsDatum),"")</f>
        <v>51929</v>
      </c>
      <c r="D231" s="195">
        <f ca="1">IF(ZahlungsZeitplan[[#This Row],['#]]&lt;&gt;"",IF(ROW()-ROW(ZahlungsZeitplan[[#Headers],[ANFANGSSALDO]])=1,DarlehensBetrag,INDEX(ZahlungsZeitplan[ENDSALDO],ROW()-ROW(ZahlungsZeitplan[[#Headers],[ANFANGSSALDO]])-1)),"")</f>
        <v>25491.500824735656</v>
      </c>
      <c r="E231" s="195">
        <f ca="1">IF(ZahlungsZeitplan[[#This Row],['#]]&lt;&gt;"",PlanmäßigeZahlung,"")</f>
        <v>645.29573460105871</v>
      </c>
      <c r="F23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1" s="195">
        <f ca="1">IF(ZahlungsZeitplan[[#This Row],['#]]&lt;&gt;"",ZahlungsZeitplan[[#This Row],[GESAMTZAHLUNG]]-ZahlungsZeitplan[[#This Row],[ZINSEN]],"")</f>
        <v>560.53649435881266</v>
      </c>
      <c r="I231" s="195">
        <f ca="1">IF(ZahlungsZeitplan[[#This Row],['#]]&lt;=($D$8*12),IF(ZahlungsZeitplan[[#This Row],['#]]&lt;&gt;"",ZahlungsZeitplan[[#This Row],[ANFANGSSALDO]]*(ZinsSatz/ZahlungenProJahr),""),IF(ZahlungsZeitplan[[#This Row],['#]]&lt;&gt;"",ZahlungsZeitplan[[#This Row],[ANFANGSSALDO]]*((ZinsSatz+$D$9)/ZahlungenProJahr),""))</f>
        <v>84.759240242246065</v>
      </c>
      <c r="J231" s="195">
        <f ca="1">IF(ZahlungsZeitplan[[#This Row],['#]]&lt;&gt;"",IF(ZahlungsZeitplan[[#This Row],[Zahlungen (Plan)]]+ZahlungsZeitplan[[#This Row],[SONDERZAHLUNG]]&lt;=ZahlungsZeitplan[[#This Row],[ANFANGSSALDO]],ZahlungsZeitplan[[#This Row],[ANFANGSSALDO]]-ZahlungsZeitplan[[#This Row],[KAPITAL]],0),"")</f>
        <v>24930.964330376843</v>
      </c>
      <c r="K231" s="195">
        <f ca="1">IF(ZahlungsZeitplan[[#This Row],['#]]&lt;&gt;"",SUM(INDEX(ZahlungsZeitplan[ZINSEN],1,1):ZahlungsZeitplan[[#This Row],[ZINSEN]]),"")</f>
        <v>31750.434473407578</v>
      </c>
    </row>
    <row r="232" spans="2:11">
      <c r="B232" s="193">
        <f ca="1">IF(DarlehenIstGut,IF(ROW()-ROW(ZahlungsZeitplan[[#Headers],['#]])&gt;PlanmäßigeAnzahlZahlungen,"",ROW()-ROW(ZahlungsZeitplan[[#Headers],['#]])),"")</f>
        <v>219</v>
      </c>
      <c r="C232" s="194">
        <f ca="1">IF(ZahlungsZeitplan[[#This Row],['#]]&lt;&gt;"",EOMONTH(DarlehensAnfangsDatum,ROW(ZahlungsZeitplan[[#This Row],['#]])-ROW(ZahlungsZeitplan[[#Headers],['#]])-2)+DAY(DarlehensAnfangsDatum),"")</f>
        <v>51960</v>
      </c>
      <c r="D232" s="195">
        <f ca="1">IF(ZahlungsZeitplan[[#This Row],['#]]&lt;&gt;"",IF(ROW()-ROW(ZahlungsZeitplan[[#Headers],[ANFANGSSALDO]])=1,DarlehensBetrag,INDEX(ZahlungsZeitplan[ENDSALDO],ROW()-ROW(ZahlungsZeitplan[[#Headers],[ANFANGSSALDO]])-1)),"")</f>
        <v>24930.964330376843</v>
      </c>
      <c r="E232" s="195">
        <f ca="1">IF(ZahlungsZeitplan[[#This Row],['#]]&lt;&gt;"",PlanmäßigeZahlung,"")</f>
        <v>645.29573460105871</v>
      </c>
      <c r="F23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2" s="195">
        <f ca="1">IF(ZahlungsZeitplan[[#This Row],['#]]&lt;&gt;"",ZahlungsZeitplan[[#This Row],[GESAMTZAHLUNG]]-ZahlungsZeitplan[[#This Row],[ZINSEN]],"")</f>
        <v>562.40027820255568</v>
      </c>
      <c r="I232" s="195">
        <f ca="1">IF(ZahlungsZeitplan[[#This Row],['#]]&lt;=($D$8*12),IF(ZahlungsZeitplan[[#This Row],['#]]&lt;&gt;"",ZahlungsZeitplan[[#This Row],[ANFANGSSALDO]]*(ZinsSatz/ZahlungenProJahr),""),IF(ZahlungsZeitplan[[#This Row],['#]]&lt;&gt;"",ZahlungsZeitplan[[#This Row],[ANFANGSSALDO]]*((ZinsSatz+$D$9)/ZahlungenProJahr),""))</f>
        <v>82.895456398503015</v>
      </c>
      <c r="J232" s="195">
        <f ca="1">IF(ZahlungsZeitplan[[#This Row],['#]]&lt;&gt;"",IF(ZahlungsZeitplan[[#This Row],[Zahlungen (Plan)]]+ZahlungsZeitplan[[#This Row],[SONDERZAHLUNG]]&lt;=ZahlungsZeitplan[[#This Row],[ANFANGSSALDO]],ZahlungsZeitplan[[#This Row],[ANFANGSSALDO]]-ZahlungsZeitplan[[#This Row],[KAPITAL]],0),"")</f>
        <v>24368.564052174286</v>
      </c>
      <c r="K232" s="195">
        <f ca="1">IF(ZahlungsZeitplan[[#This Row],['#]]&lt;&gt;"",SUM(INDEX(ZahlungsZeitplan[ZINSEN],1,1):ZahlungsZeitplan[[#This Row],[ZINSEN]]),"")</f>
        <v>31833.329929806081</v>
      </c>
    </row>
    <row r="233" spans="2:11">
      <c r="B233" s="193">
        <f ca="1">IF(DarlehenIstGut,IF(ROW()-ROW(ZahlungsZeitplan[[#Headers],['#]])&gt;PlanmäßigeAnzahlZahlungen,"",ROW()-ROW(ZahlungsZeitplan[[#Headers],['#]])),"")</f>
        <v>220</v>
      </c>
      <c r="C233" s="194">
        <f ca="1">IF(ZahlungsZeitplan[[#This Row],['#]]&lt;&gt;"",EOMONTH(DarlehensAnfangsDatum,ROW(ZahlungsZeitplan[[#This Row],['#]])-ROW(ZahlungsZeitplan[[#Headers],['#]])-2)+DAY(DarlehensAnfangsDatum),"")</f>
        <v>51990</v>
      </c>
      <c r="D233" s="195">
        <f ca="1">IF(ZahlungsZeitplan[[#This Row],['#]]&lt;&gt;"",IF(ROW()-ROW(ZahlungsZeitplan[[#Headers],[ANFANGSSALDO]])=1,DarlehensBetrag,INDEX(ZahlungsZeitplan[ENDSALDO],ROW()-ROW(ZahlungsZeitplan[[#Headers],[ANFANGSSALDO]])-1)),"")</f>
        <v>24368.564052174286</v>
      </c>
      <c r="E233" s="195">
        <f ca="1">IF(ZahlungsZeitplan[[#This Row],['#]]&lt;&gt;"",PlanmäßigeZahlung,"")</f>
        <v>645.29573460105871</v>
      </c>
      <c r="F23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3" s="195">
        <f ca="1">IF(ZahlungsZeitplan[[#This Row],['#]]&lt;&gt;"",ZahlungsZeitplan[[#This Row],[GESAMTZAHLUNG]]-ZahlungsZeitplan[[#This Row],[ZINSEN]],"")</f>
        <v>564.27025912757927</v>
      </c>
      <c r="I233" s="195">
        <f ca="1">IF(ZahlungsZeitplan[[#This Row],['#]]&lt;=($D$8*12),IF(ZahlungsZeitplan[[#This Row],['#]]&lt;&gt;"",ZahlungsZeitplan[[#This Row],[ANFANGSSALDO]]*(ZinsSatz/ZahlungenProJahr),""),IF(ZahlungsZeitplan[[#This Row],['#]]&lt;&gt;"",ZahlungsZeitplan[[#This Row],[ANFANGSSALDO]]*((ZinsSatz+$D$9)/ZahlungenProJahr),""))</f>
        <v>81.025475473479503</v>
      </c>
      <c r="J233" s="195">
        <f ca="1">IF(ZahlungsZeitplan[[#This Row],['#]]&lt;&gt;"",IF(ZahlungsZeitplan[[#This Row],[Zahlungen (Plan)]]+ZahlungsZeitplan[[#This Row],[SONDERZAHLUNG]]&lt;=ZahlungsZeitplan[[#This Row],[ANFANGSSALDO]],ZahlungsZeitplan[[#This Row],[ANFANGSSALDO]]-ZahlungsZeitplan[[#This Row],[KAPITAL]],0),"")</f>
        <v>23804.293793046709</v>
      </c>
      <c r="K233" s="195">
        <f ca="1">IF(ZahlungsZeitplan[[#This Row],['#]]&lt;&gt;"",SUM(INDEX(ZahlungsZeitplan[ZINSEN],1,1):ZahlungsZeitplan[[#This Row],[ZINSEN]]),"")</f>
        <v>31914.355405279559</v>
      </c>
    </row>
    <row r="234" spans="2:11">
      <c r="B234" s="193">
        <f ca="1">IF(DarlehenIstGut,IF(ROW()-ROW(ZahlungsZeitplan[[#Headers],['#]])&gt;PlanmäßigeAnzahlZahlungen,"",ROW()-ROW(ZahlungsZeitplan[[#Headers],['#]])),"")</f>
        <v>221</v>
      </c>
      <c r="C234" s="194">
        <f ca="1">IF(ZahlungsZeitplan[[#This Row],['#]]&lt;&gt;"",EOMONTH(DarlehensAnfangsDatum,ROW(ZahlungsZeitplan[[#This Row],['#]])-ROW(ZahlungsZeitplan[[#Headers],['#]])-2)+DAY(DarlehensAnfangsDatum),"")</f>
        <v>52021</v>
      </c>
      <c r="D234" s="195">
        <f ca="1">IF(ZahlungsZeitplan[[#This Row],['#]]&lt;&gt;"",IF(ROW()-ROW(ZahlungsZeitplan[[#Headers],[ANFANGSSALDO]])=1,DarlehensBetrag,INDEX(ZahlungsZeitplan[ENDSALDO],ROW()-ROW(ZahlungsZeitplan[[#Headers],[ANFANGSSALDO]])-1)),"")</f>
        <v>23804.293793046709</v>
      </c>
      <c r="E234" s="195">
        <f ca="1">IF(ZahlungsZeitplan[[#This Row],['#]]&lt;&gt;"",PlanmäßigeZahlung,"")</f>
        <v>645.29573460105871</v>
      </c>
      <c r="F23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4" s="195">
        <f ca="1">IF(ZahlungsZeitplan[[#This Row],['#]]&lt;&gt;"",ZahlungsZeitplan[[#This Row],[GESAMTZAHLUNG]]-ZahlungsZeitplan[[#This Row],[ZINSEN]],"")</f>
        <v>566.14645773917846</v>
      </c>
      <c r="I234" s="195">
        <f ca="1">IF(ZahlungsZeitplan[[#This Row],['#]]&lt;=($D$8*12),IF(ZahlungsZeitplan[[#This Row],['#]]&lt;&gt;"",ZahlungsZeitplan[[#This Row],[ANFANGSSALDO]]*(ZinsSatz/ZahlungenProJahr),""),IF(ZahlungsZeitplan[[#This Row],['#]]&lt;&gt;"",ZahlungsZeitplan[[#This Row],[ANFANGSSALDO]]*((ZinsSatz+$D$9)/ZahlungenProJahr),""))</f>
        <v>79.14927686188031</v>
      </c>
      <c r="J234" s="195">
        <f ca="1">IF(ZahlungsZeitplan[[#This Row],['#]]&lt;&gt;"",IF(ZahlungsZeitplan[[#This Row],[Zahlungen (Plan)]]+ZahlungsZeitplan[[#This Row],[SONDERZAHLUNG]]&lt;=ZahlungsZeitplan[[#This Row],[ANFANGSSALDO]],ZahlungsZeitplan[[#This Row],[ANFANGSSALDO]]-ZahlungsZeitplan[[#This Row],[KAPITAL]],0),"")</f>
        <v>23238.147335307531</v>
      </c>
      <c r="K234" s="195">
        <f ca="1">IF(ZahlungsZeitplan[[#This Row],['#]]&lt;&gt;"",SUM(INDEX(ZahlungsZeitplan[ZINSEN],1,1):ZahlungsZeitplan[[#This Row],[ZINSEN]]),"")</f>
        <v>31993.50468214144</v>
      </c>
    </row>
    <row r="235" spans="2:11">
      <c r="B235" s="193">
        <f ca="1">IF(DarlehenIstGut,IF(ROW()-ROW(ZahlungsZeitplan[[#Headers],['#]])&gt;PlanmäßigeAnzahlZahlungen,"",ROW()-ROW(ZahlungsZeitplan[[#Headers],['#]])),"")</f>
        <v>222</v>
      </c>
      <c r="C235" s="194">
        <f ca="1">IF(ZahlungsZeitplan[[#This Row],['#]]&lt;&gt;"",EOMONTH(DarlehensAnfangsDatum,ROW(ZahlungsZeitplan[[#This Row],['#]])-ROW(ZahlungsZeitplan[[#Headers],['#]])-2)+DAY(DarlehensAnfangsDatum),"")</f>
        <v>52051</v>
      </c>
      <c r="D235" s="195">
        <f ca="1">IF(ZahlungsZeitplan[[#This Row],['#]]&lt;&gt;"",IF(ROW()-ROW(ZahlungsZeitplan[[#Headers],[ANFANGSSALDO]])=1,DarlehensBetrag,INDEX(ZahlungsZeitplan[ENDSALDO],ROW()-ROW(ZahlungsZeitplan[[#Headers],[ANFANGSSALDO]])-1)),"")</f>
        <v>23238.147335307531</v>
      </c>
      <c r="E235" s="195">
        <f ca="1">IF(ZahlungsZeitplan[[#This Row],['#]]&lt;&gt;"",PlanmäßigeZahlung,"")</f>
        <v>645.29573460105871</v>
      </c>
      <c r="F23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5" s="195">
        <f ca="1">IF(ZahlungsZeitplan[[#This Row],['#]]&lt;&gt;"",ZahlungsZeitplan[[#This Row],[GESAMTZAHLUNG]]-ZahlungsZeitplan[[#This Row],[ZINSEN]],"")</f>
        <v>568.02889471116123</v>
      </c>
      <c r="I235" s="195">
        <f ca="1">IF(ZahlungsZeitplan[[#This Row],['#]]&lt;=($D$8*12),IF(ZahlungsZeitplan[[#This Row],['#]]&lt;&gt;"",ZahlungsZeitplan[[#This Row],[ANFANGSSALDO]]*(ZinsSatz/ZahlungenProJahr),""),IF(ZahlungsZeitplan[[#This Row],['#]]&lt;&gt;"",ZahlungsZeitplan[[#This Row],[ANFANGSSALDO]]*((ZinsSatz+$D$9)/ZahlungenProJahr),""))</f>
        <v>77.26683988989754</v>
      </c>
      <c r="J235" s="195">
        <f ca="1">IF(ZahlungsZeitplan[[#This Row],['#]]&lt;&gt;"",IF(ZahlungsZeitplan[[#This Row],[Zahlungen (Plan)]]+ZahlungsZeitplan[[#This Row],[SONDERZAHLUNG]]&lt;=ZahlungsZeitplan[[#This Row],[ANFANGSSALDO]],ZahlungsZeitplan[[#This Row],[ANFANGSSALDO]]-ZahlungsZeitplan[[#This Row],[KAPITAL]],0),"")</f>
        <v>22670.118440596369</v>
      </c>
      <c r="K235" s="195">
        <f ca="1">IF(ZahlungsZeitplan[[#This Row],['#]]&lt;&gt;"",SUM(INDEX(ZahlungsZeitplan[ZINSEN],1,1):ZahlungsZeitplan[[#This Row],[ZINSEN]]),"")</f>
        <v>32070.771522031337</v>
      </c>
    </row>
    <row r="236" spans="2:11">
      <c r="B236" s="193">
        <f ca="1">IF(DarlehenIstGut,IF(ROW()-ROW(ZahlungsZeitplan[[#Headers],['#]])&gt;PlanmäßigeAnzahlZahlungen,"",ROW()-ROW(ZahlungsZeitplan[[#Headers],['#]])),"")</f>
        <v>223</v>
      </c>
      <c r="C236" s="194">
        <f ca="1">IF(ZahlungsZeitplan[[#This Row],['#]]&lt;&gt;"",EOMONTH(DarlehensAnfangsDatum,ROW(ZahlungsZeitplan[[#This Row],['#]])-ROW(ZahlungsZeitplan[[#Headers],['#]])-2)+DAY(DarlehensAnfangsDatum),"")</f>
        <v>52082</v>
      </c>
      <c r="D236" s="195">
        <f ca="1">IF(ZahlungsZeitplan[[#This Row],['#]]&lt;&gt;"",IF(ROW()-ROW(ZahlungsZeitplan[[#Headers],[ANFANGSSALDO]])=1,DarlehensBetrag,INDEX(ZahlungsZeitplan[ENDSALDO],ROW()-ROW(ZahlungsZeitplan[[#Headers],[ANFANGSSALDO]])-1)),"")</f>
        <v>22670.118440596369</v>
      </c>
      <c r="E236" s="195">
        <f ca="1">IF(ZahlungsZeitplan[[#This Row],['#]]&lt;&gt;"",PlanmäßigeZahlung,"")</f>
        <v>645.29573460105871</v>
      </c>
      <c r="F23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6" s="195">
        <f ca="1">IF(ZahlungsZeitplan[[#This Row],['#]]&lt;&gt;"",ZahlungsZeitplan[[#This Row],[GESAMTZAHLUNG]]-ZahlungsZeitplan[[#This Row],[ZINSEN]],"")</f>
        <v>569.91759078607583</v>
      </c>
      <c r="I236" s="195">
        <f ca="1">IF(ZahlungsZeitplan[[#This Row],['#]]&lt;=($D$8*12),IF(ZahlungsZeitplan[[#This Row],['#]]&lt;&gt;"",ZahlungsZeitplan[[#This Row],[ANFANGSSALDO]]*(ZinsSatz/ZahlungenProJahr),""),IF(ZahlungsZeitplan[[#This Row],['#]]&lt;&gt;"",ZahlungsZeitplan[[#This Row],[ANFANGSSALDO]]*((ZinsSatz+$D$9)/ZahlungenProJahr),""))</f>
        <v>75.378143814982934</v>
      </c>
      <c r="J236" s="195">
        <f ca="1">IF(ZahlungsZeitplan[[#This Row],['#]]&lt;&gt;"",IF(ZahlungsZeitplan[[#This Row],[Zahlungen (Plan)]]+ZahlungsZeitplan[[#This Row],[SONDERZAHLUNG]]&lt;=ZahlungsZeitplan[[#This Row],[ANFANGSSALDO]],ZahlungsZeitplan[[#This Row],[ANFANGSSALDO]]-ZahlungsZeitplan[[#This Row],[KAPITAL]],0),"")</f>
        <v>22100.200849810291</v>
      </c>
      <c r="K236" s="195">
        <f ca="1">IF(ZahlungsZeitplan[[#This Row],['#]]&lt;&gt;"",SUM(INDEX(ZahlungsZeitplan[ZINSEN],1,1):ZahlungsZeitplan[[#This Row],[ZINSEN]]),"")</f>
        <v>32146.149665846318</v>
      </c>
    </row>
    <row r="237" spans="2:11">
      <c r="B237" s="193">
        <f ca="1">IF(DarlehenIstGut,IF(ROW()-ROW(ZahlungsZeitplan[[#Headers],['#]])&gt;PlanmäßigeAnzahlZahlungen,"",ROW()-ROW(ZahlungsZeitplan[[#Headers],['#]])),"")</f>
        <v>224</v>
      </c>
      <c r="C237" s="194">
        <f ca="1">IF(ZahlungsZeitplan[[#This Row],['#]]&lt;&gt;"",EOMONTH(DarlehensAnfangsDatum,ROW(ZahlungsZeitplan[[#This Row],['#]])-ROW(ZahlungsZeitplan[[#Headers],['#]])-2)+DAY(DarlehensAnfangsDatum),"")</f>
        <v>52113</v>
      </c>
      <c r="D237" s="195">
        <f ca="1">IF(ZahlungsZeitplan[[#This Row],['#]]&lt;&gt;"",IF(ROW()-ROW(ZahlungsZeitplan[[#Headers],[ANFANGSSALDO]])=1,DarlehensBetrag,INDEX(ZahlungsZeitplan[ENDSALDO],ROW()-ROW(ZahlungsZeitplan[[#Headers],[ANFANGSSALDO]])-1)),"")</f>
        <v>22100.200849810291</v>
      </c>
      <c r="E237" s="195">
        <f ca="1">IF(ZahlungsZeitplan[[#This Row],['#]]&lt;&gt;"",PlanmäßigeZahlung,"")</f>
        <v>645.29573460105871</v>
      </c>
      <c r="F23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7" s="195">
        <f ca="1">IF(ZahlungsZeitplan[[#This Row],['#]]&lt;&gt;"",ZahlungsZeitplan[[#This Row],[GESAMTZAHLUNG]]-ZahlungsZeitplan[[#This Row],[ZINSEN]],"")</f>
        <v>571.81256677543945</v>
      </c>
      <c r="I237" s="195">
        <f ca="1">IF(ZahlungsZeitplan[[#This Row],['#]]&lt;=($D$8*12),IF(ZahlungsZeitplan[[#This Row],['#]]&lt;&gt;"",ZahlungsZeitplan[[#This Row],[ANFANGSSALDO]]*(ZinsSatz/ZahlungenProJahr),""),IF(ZahlungsZeitplan[[#This Row],['#]]&lt;&gt;"",ZahlungsZeitplan[[#This Row],[ANFANGSSALDO]]*((ZinsSatz+$D$9)/ZahlungenProJahr),""))</f>
        <v>73.483167825619219</v>
      </c>
      <c r="J237" s="195">
        <f ca="1">IF(ZahlungsZeitplan[[#This Row],['#]]&lt;&gt;"",IF(ZahlungsZeitplan[[#This Row],[Zahlungen (Plan)]]+ZahlungsZeitplan[[#This Row],[SONDERZAHLUNG]]&lt;=ZahlungsZeitplan[[#This Row],[ANFANGSSALDO]],ZahlungsZeitplan[[#This Row],[ANFANGSSALDO]]-ZahlungsZeitplan[[#This Row],[KAPITAL]],0),"")</f>
        <v>21528.388283034852</v>
      </c>
      <c r="K237" s="195">
        <f ca="1">IF(ZahlungsZeitplan[[#This Row],['#]]&lt;&gt;"",SUM(INDEX(ZahlungsZeitplan[ZINSEN],1,1):ZahlungsZeitplan[[#This Row],[ZINSEN]]),"")</f>
        <v>32219.632833671938</v>
      </c>
    </row>
    <row r="238" spans="2:11">
      <c r="B238" s="193">
        <f ca="1">IF(DarlehenIstGut,IF(ROW()-ROW(ZahlungsZeitplan[[#Headers],['#]])&gt;PlanmäßigeAnzahlZahlungen,"",ROW()-ROW(ZahlungsZeitplan[[#Headers],['#]])),"")</f>
        <v>225</v>
      </c>
      <c r="C238" s="194">
        <f ca="1">IF(ZahlungsZeitplan[[#This Row],['#]]&lt;&gt;"",EOMONTH(DarlehensAnfangsDatum,ROW(ZahlungsZeitplan[[#This Row],['#]])-ROW(ZahlungsZeitplan[[#Headers],['#]])-2)+DAY(DarlehensAnfangsDatum),"")</f>
        <v>52143</v>
      </c>
      <c r="D238" s="195">
        <f ca="1">IF(ZahlungsZeitplan[[#This Row],['#]]&lt;&gt;"",IF(ROW()-ROW(ZahlungsZeitplan[[#Headers],[ANFANGSSALDO]])=1,DarlehensBetrag,INDEX(ZahlungsZeitplan[ENDSALDO],ROW()-ROW(ZahlungsZeitplan[[#Headers],[ANFANGSSALDO]])-1)),"")</f>
        <v>21528.388283034852</v>
      </c>
      <c r="E238" s="195">
        <f ca="1">IF(ZahlungsZeitplan[[#This Row],['#]]&lt;&gt;"",PlanmäßigeZahlung,"")</f>
        <v>645.29573460105871</v>
      </c>
      <c r="F23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8" s="195">
        <f ca="1">IF(ZahlungsZeitplan[[#This Row],['#]]&lt;&gt;"",ZahlungsZeitplan[[#This Row],[GESAMTZAHLUNG]]-ZahlungsZeitplan[[#This Row],[ZINSEN]],"")</f>
        <v>573.71384355996781</v>
      </c>
      <c r="I238" s="195">
        <f ca="1">IF(ZahlungsZeitplan[[#This Row],['#]]&lt;=($D$8*12),IF(ZahlungsZeitplan[[#This Row],['#]]&lt;&gt;"",ZahlungsZeitplan[[#This Row],[ANFANGSSALDO]]*(ZinsSatz/ZahlungenProJahr),""),IF(ZahlungsZeitplan[[#This Row],['#]]&lt;&gt;"",ZahlungsZeitplan[[#This Row],[ANFANGSSALDO]]*((ZinsSatz+$D$9)/ZahlungenProJahr),""))</f>
        <v>71.581891041090884</v>
      </c>
      <c r="J238" s="195">
        <f ca="1">IF(ZahlungsZeitplan[[#This Row],['#]]&lt;&gt;"",IF(ZahlungsZeitplan[[#This Row],[Zahlungen (Plan)]]+ZahlungsZeitplan[[#This Row],[SONDERZAHLUNG]]&lt;=ZahlungsZeitplan[[#This Row],[ANFANGSSALDO]],ZahlungsZeitplan[[#This Row],[ANFANGSSALDO]]-ZahlungsZeitplan[[#This Row],[KAPITAL]],0),"")</f>
        <v>20954.674439474886</v>
      </c>
      <c r="K238" s="195">
        <f ca="1">IF(ZahlungsZeitplan[[#This Row],['#]]&lt;&gt;"",SUM(INDEX(ZahlungsZeitplan[ZINSEN],1,1):ZahlungsZeitplan[[#This Row],[ZINSEN]]),"")</f>
        <v>32291.214724713031</v>
      </c>
    </row>
    <row r="239" spans="2:11">
      <c r="B239" s="193">
        <f ca="1">IF(DarlehenIstGut,IF(ROW()-ROW(ZahlungsZeitplan[[#Headers],['#]])&gt;PlanmäßigeAnzahlZahlungen,"",ROW()-ROW(ZahlungsZeitplan[[#Headers],['#]])),"")</f>
        <v>226</v>
      </c>
      <c r="C239" s="194">
        <f ca="1">IF(ZahlungsZeitplan[[#This Row],['#]]&lt;&gt;"",EOMONTH(DarlehensAnfangsDatum,ROW(ZahlungsZeitplan[[#This Row],['#]])-ROW(ZahlungsZeitplan[[#Headers],['#]])-2)+DAY(DarlehensAnfangsDatum),"")</f>
        <v>52174</v>
      </c>
      <c r="D239" s="195">
        <f ca="1">IF(ZahlungsZeitplan[[#This Row],['#]]&lt;&gt;"",IF(ROW()-ROW(ZahlungsZeitplan[[#Headers],[ANFANGSSALDO]])=1,DarlehensBetrag,INDEX(ZahlungsZeitplan[ENDSALDO],ROW()-ROW(ZahlungsZeitplan[[#Headers],[ANFANGSSALDO]])-1)),"")</f>
        <v>20954.674439474886</v>
      </c>
      <c r="E239" s="195">
        <f ca="1">IF(ZahlungsZeitplan[[#This Row],['#]]&lt;&gt;"",PlanmäßigeZahlung,"")</f>
        <v>645.29573460105871</v>
      </c>
      <c r="F23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3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39" s="195">
        <f ca="1">IF(ZahlungsZeitplan[[#This Row],['#]]&lt;&gt;"",ZahlungsZeitplan[[#This Row],[GESAMTZAHLUNG]]-ZahlungsZeitplan[[#This Row],[ZINSEN]],"")</f>
        <v>575.62144208980476</v>
      </c>
      <c r="I239" s="195">
        <f ca="1">IF(ZahlungsZeitplan[[#This Row],['#]]&lt;=($D$8*12),IF(ZahlungsZeitplan[[#This Row],['#]]&lt;&gt;"",ZahlungsZeitplan[[#This Row],[ANFANGSSALDO]]*(ZinsSatz/ZahlungenProJahr),""),IF(ZahlungsZeitplan[[#This Row],['#]]&lt;&gt;"",ZahlungsZeitplan[[#This Row],[ANFANGSSALDO]]*((ZinsSatz+$D$9)/ZahlungenProJahr),""))</f>
        <v>69.674292511253995</v>
      </c>
      <c r="J239" s="195">
        <f ca="1">IF(ZahlungsZeitplan[[#This Row],['#]]&lt;&gt;"",IF(ZahlungsZeitplan[[#This Row],[Zahlungen (Plan)]]+ZahlungsZeitplan[[#This Row],[SONDERZAHLUNG]]&lt;=ZahlungsZeitplan[[#This Row],[ANFANGSSALDO]],ZahlungsZeitplan[[#This Row],[ANFANGSSALDO]]-ZahlungsZeitplan[[#This Row],[KAPITAL]],0),"")</f>
        <v>20379.052997385083</v>
      </c>
      <c r="K239" s="195">
        <f ca="1">IF(ZahlungsZeitplan[[#This Row],['#]]&lt;&gt;"",SUM(INDEX(ZahlungsZeitplan[ZINSEN],1,1):ZahlungsZeitplan[[#This Row],[ZINSEN]]),"")</f>
        <v>32360.889017224286</v>
      </c>
    </row>
    <row r="240" spans="2:11">
      <c r="B240" s="193">
        <f ca="1">IF(DarlehenIstGut,IF(ROW()-ROW(ZahlungsZeitplan[[#Headers],['#]])&gt;PlanmäßigeAnzahlZahlungen,"",ROW()-ROW(ZahlungsZeitplan[[#Headers],['#]])),"")</f>
        <v>227</v>
      </c>
      <c r="C240" s="194">
        <f ca="1">IF(ZahlungsZeitplan[[#This Row],['#]]&lt;&gt;"",EOMONTH(DarlehensAnfangsDatum,ROW(ZahlungsZeitplan[[#This Row],['#]])-ROW(ZahlungsZeitplan[[#Headers],['#]])-2)+DAY(DarlehensAnfangsDatum),"")</f>
        <v>52204</v>
      </c>
      <c r="D240" s="195">
        <f ca="1">IF(ZahlungsZeitplan[[#This Row],['#]]&lt;&gt;"",IF(ROW()-ROW(ZahlungsZeitplan[[#Headers],[ANFANGSSALDO]])=1,DarlehensBetrag,INDEX(ZahlungsZeitplan[ENDSALDO],ROW()-ROW(ZahlungsZeitplan[[#Headers],[ANFANGSSALDO]])-1)),"")</f>
        <v>20379.052997385083</v>
      </c>
      <c r="E240" s="195">
        <f ca="1">IF(ZahlungsZeitplan[[#This Row],['#]]&lt;&gt;"",PlanmäßigeZahlung,"")</f>
        <v>645.29573460105871</v>
      </c>
      <c r="F24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0" s="195">
        <f ca="1">IF(ZahlungsZeitplan[[#This Row],['#]]&lt;&gt;"",ZahlungsZeitplan[[#This Row],[GESAMTZAHLUNG]]-ZahlungsZeitplan[[#This Row],[ZINSEN]],"")</f>
        <v>577.53538338475335</v>
      </c>
      <c r="I240" s="195">
        <f ca="1">IF(ZahlungsZeitplan[[#This Row],['#]]&lt;=($D$8*12),IF(ZahlungsZeitplan[[#This Row],['#]]&lt;&gt;"",ZahlungsZeitplan[[#This Row],[ANFANGSSALDO]]*(ZinsSatz/ZahlungenProJahr),""),IF(ZahlungsZeitplan[[#This Row],['#]]&lt;&gt;"",ZahlungsZeitplan[[#This Row],[ANFANGSSALDO]]*((ZinsSatz+$D$9)/ZahlungenProJahr),""))</f>
        <v>67.760351216305409</v>
      </c>
      <c r="J240" s="195">
        <f ca="1">IF(ZahlungsZeitplan[[#This Row],['#]]&lt;&gt;"",IF(ZahlungsZeitplan[[#This Row],[Zahlungen (Plan)]]+ZahlungsZeitplan[[#This Row],[SONDERZAHLUNG]]&lt;=ZahlungsZeitplan[[#This Row],[ANFANGSSALDO]],ZahlungsZeitplan[[#This Row],[ANFANGSSALDO]]-ZahlungsZeitplan[[#This Row],[KAPITAL]],0),"")</f>
        <v>19801.517614000328</v>
      </c>
      <c r="K240" s="195">
        <f ca="1">IF(ZahlungsZeitplan[[#This Row],['#]]&lt;&gt;"",SUM(INDEX(ZahlungsZeitplan[ZINSEN],1,1):ZahlungsZeitplan[[#This Row],[ZINSEN]]),"")</f>
        <v>32428.64936844059</v>
      </c>
    </row>
    <row r="241" spans="2:11">
      <c r="B241" s="193">
        <f ca="1">IF(DarlehenIstGut,IF(ROW()-ROW(ZahlungsZeitplan[[#Headers],['#]])&gt;PlanmäßigeAnzahlZahlungen,"",ROW()-ROW(ZahlungsZeitplan[[#Headers],['#]])),"")</f>
        <v>228</v>
      </c>
      <c r="C241" s="194">
        <f ca="1">IF(ZahlungsZeitplan[[#This Row],['#]]&lt;&gt;"",EOMONTH(DarlehensAnfangsDatum,ROW(ZahlungsZeitplan[[#This Row],['#]])-ROW(ZahlungsZeitplan[[#Headers],['#]])-2)+DAY(DarlehensAnfangsDatum),"")</f>
        <v>52235</v>
      </c>
      <c r="D241" s="195">
        <f ca="1">IF(ZahlungsZeitplan[[#This Row],['#]]&lt;&gt;"",IF(ROW()-ROW(ZahlungsZeitplan[[#Headers],[ANFANGSSALDO]])=1,DarlehensBetrag,INDEX(ZahlungsZeitplan[ENDSALDO],ROW()-ROW(ZahlungsZeitplan[[#Headers],[ANFANGSSALDO]])-1)),"")</f>
        <v>19801.517614000328</v>
      </c>
      <c r="E241" s="195">
        <f ca="1">IF(ZahlungsZeitplan[[#This Row],['#]]&lt;&gt;"",PlanmäßigeZahlung,"")</f>
        <v>645.29573460105871</v>
      </c>
      <c r="F24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1" s="195">
        <f ca="1">IF(ZahlungsZeitplan[[#This Row],['#]]&lt;&gt;"",ZahlungsZeitplan[[#This Row],[GESAMTZAHLUNG]]-ZahlungsZeitplan[[#This Row],[ZINSEN]],"")</f>
        <v>579.45568853450766</v>
      </c>
      <c r="I241" s="195">
        <f ca="1">IF(ZahlungsZeitplan[[#This Row],['#]]&lt;=($D$8*12),IF(ZahlungsZeitplan[[#This Row],['#]]&lt;&gt;"",ZahlungsZeitplan[[#This Row],[ANFANGSSALDO]]*(ZinsSatz/ZahlungenProJahr),""),IF(ZahlungsZeitplan[[#This Row],['#]]&lt;&gt;"",ZahlungsZeitplan[[#This Row],[ANFANGSSALDO]]*((ZinsSatz+$D$9)/ZahlungenProJahr),""))</f>
        <v>65.840046066551096</v>
      </c>
      <c r="J241" s="195">
        <f ca="1">IF(ZahlungsZeitplan[[#This Row],['#]]&lt;&gt;"",IF(ZahlungsZeitplan[[#This Row],[Zahlungen (Plan)]]+ZahlungsZeitplan[[#This Row],[SONDERZAHLUNG]]&lt;=ZahlungsZeitplan[[#This Row],[ANFANGSSALDO]],ZahlungsZeitplan[[#This Row],[ANFANGSSALDO]]-ZahlungsZeitplan[[#This Row],[KAPITAL]],0),"")</f>
        <v>19222.06192546582</v>
      </c>
      <c r="K241" s="195">
        <f ca="1">IF(ZahlungsZeitplan[[#This Row],['#]]&lt;&gt;"",SUM(INDEX(ZahlungsZeitplan[ZINSEN],1,1):ZahlungsZeitplan[[#This Row],[ZINSEN]]),"")</f>
        <v>32494.489414507141</v>
      </c>
    </row>
    <row r="242" spans="2:11">
      <c r="B242" s="193">
        <f ca="1">IF(DarlehenIstGut,IF(ROW()-ROW(ZahlungsZeitplan[[#Headers],['#]])&gt;PlanmäßigeAnzahlZahlungen,"",ROW()-ROW(ZahlungsZeitplan[[#Headers],['#]])),"")</f>
        <v>229</v>
      </c>
      <c r="C242" s="194">
        <f ca="1">IF(ZahlungsZeitplan[[#This Row],['#]]&lt;&gt;"",EOMONTH(DarlehensAnfangsDatum,ROW(ZahlungsZeitplan[[#This Row],['#]])-ROW(ZahlungsZeitplan[[#Headers],['#]])-2)+DAY(DarlehensAnfangsDatum),"")</f>
        <v>52266</v>
      </c>
      <c r="D242" s="195">
        <f ca="1">IF(ZahlungsZeitplan[[#This Row],['#]]&lt;&gt;"",IF(ROW()-ROW(ZahlungsZeitplan[[#Headers],[ANFANGSSALDO]])=1,DarlehensBetrag,INDEX(ZahlungsZeitplan[ENDSALDO],ROW()-ROW(ZahlungsZeitplan[[#Headers],[ANFANGSSALDO]])-1)),"")</f>
        <v>19222.06192546582</v>
      </c>
      <c r="E242" s="195">
        <f ca="1">IF(ZahlungsZeitplan[[#This Row],['#]]&lt;&gt;"",PlanmäßigeZahlung,"")</f>
        <v>645.29573460105871</v>
      </c>
      <c r="F24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2" s="195">
        <f ca="1">IF(ZahlungsZeitplan[[#This Row],['#]]&lt;&gt;"",ZahlungsZeitplan[[#This Row],[GESAMTZAHLUNG]]-ZahlungsZeitplan[[#This Row],[ZINSEN]],"")</f>
        <v>581.38237869888485</v>
      </c>
      <c r="I242" s="195">
        <f ca="1">IF(ZahlungsZeitplan[[#This Row],['#]]&lt;=($D$8*12),IF(ZahlungsZeitplan[[#This Row],['#]]&lt;&gt;"",ZahlungsZeitplan[[#This Row],[ANFANGSSALDO]]*(ZinsSatz/ZahlungenProJahr),""),IF(ZahlungsZeitplan[[#This Row],['#]]&lt;&gt;"",ZahlungsZeitplan[[#This Row],[ANFANGSSALDO]]*((ZinsSatz+$D$9)/ZahlungenProJahr),""))</f>
        <v>63.913355902173855</v>
      </c>
      <c r="J242" s="195">
        <f ca="1">IF(ZahlungsZeitplan[[#This Row],['#]]&lt;&gt;"",IF(ZahlungsZeitplan[[#This Row],[Zahlungen (Plan)]]+ZahlungsZeitplan[[#This Row],[SONDERZAHLUNG]]&lt;=ZahlungsZeitplan[[#This Row],[ANFANGSSALDO]],ZahlungsZeitplan[[#This Row],[ANFANGSSALDO]]-ZahlungsZeitplan[[#This Row],[KAPITAL]],0),"")</f>
        <v>18640.679546766936</v>
      </c>
      <c r="K242" s="195">
        <f ca="1">IF(ZahlungsZeitplan[[#This Row],['#]]&lt;&gt;"",SUM(INDEX(ZahlungsZeitplan[ZINSEN],1,1):ZahlungsZeitplan[[#This Row],[ZINSEN]]),"")</f>
        <v>32558.402770409313</v>
      </c>
    </row>
    <row r="243" spans="2:11">
      <c r="B243" s="193">
        <f ca="1">IF(DarlehenIstGut,IF(ROW()-ROW(ZahlungsZeitplan[[#Headers],['#]])&gt;PlanmäßigeAnzahlZahlungen,"",ROW()-ROW(ZahlungsZeitplan[[#Headers],['#]])),"")</f>
        <v>230</v>
      </c>
      <c r="C243" s="194">
        <f ca="1">IF(ZahlungsZeitplan[[#This Row],['#]]&lt;&gt;"",EOMONTH(DarlehensAnfangsDatum,ROW(ZahlungsZeitplan[[#This Row],['#]])-ROW(ZahlungsZeitplan[[#Headers],['#]])-2)+DAY(DarlehensAnfangsDatum),"")</f>
        <v>52294</v>
      </c>
      <c r="D243" s="195">
        <f ca="1">IF(ZahlungsZeitplan[[#This Row],['#]]&lt;&gt;"",IF(ROW()-ROW(ZahlungsZeitplan[[#Headers],[ANFANGSSALDO]])=1,DarlehensBetrag,INDEX(ZahlungsZeitplan[ENDSALDO],ROW()-ROW(ZahlungsZeitplan[[#Headers],[ANFANGSSALDO]])-1)),"")</f>
        <v>18640.679546766936</v>
      </c>
      <c r="E243" s="195">
        <f ca="1">IF(ZahlungsZeitplan[[#This Row],['#]]&lt;&gt;"",PlanmäßigeZahlung,"")</f>
        <v>645.29573460105871</v>
      </c>
      <c r="F24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3" s="195">
        <f ca="1">IF(ZahlungsZeitplan[[#This Row],['#]]&lt;&gt;"",ZahlungsZeitplan[[#This Row],[GESAMTZAHLUNG]]-ZahlungsZeitplan[[#This Row],[ZINSEN]],"")</f>
        <v>583.31547510805865</v>
      </c>
      <c r="I243" s="195">
        <f ca="1">IF(ZahlungsZeitplan[[#This Row],['#]]&lt;=($D$8*12),IF(ZahlungsZeitplan[[#This Row],['#]]&lt;&gt;"",ZahlungsZeitplan[[#This Row],[ANFANGSSALDO]]*(ZinsSatz/ZahlungenProJahr),""),IF(ZahlungsZeitplan[[#This Row],['#]]&lt;&gt;"",ZahlungsZeitplan[[#This Row],[ANFANGSSALDO]]*((ZinsSatz+$D$9)/ZahlungenProJahr),""))</f>
        <v>61.980259493000069</v>
      </c>
      <c r="J243" s="195">
        <f ca="1">IF(ZahlungsZeitplan[[#This Row],['#]]&lt;&gt;"",IF(ZahlungsZeitplan[[#This Row],[Zahlungen (Plan)]]+ZahlungsZeitplan[[#This Row],[SONDERZAHLUNG]]&lt;=ZahlungsZeitplan[[#This Row],[ANFANGSSALDO]],ZahlungsZeitplan[[#This Row],[ANFANGSSALDO]]-ZahlungsZeitplan[[#This Row],[KAPITAL]],0),"")</f>
        <v>18057.364071658878</v>
      </c>
      <c r="K243" s="195">
        <f ca="1">IF(ZahlungsZeitplan[[#This Row],['#]]&lt;&gt;"",SUM(INDEX(ZahlungsZeitplan[ZINSEN],1,1):ZahlungsZeitplan[[#This Row],[ZINSEN]]),"")</f>
        <v>32620.383029902314</v>
      </c>
    </row>
    <row r="244" spans="2:11">
      <c r="B244" s="193">
        <f ca="1">IF(DarlehenIstGut,IF(ROW()-ROW(ZahlungsZeitplan[[#Headers],['#]])&gt;PlanmäßigeAnzahlZahlungen,"",ROW()-ROW(ZahlungsZeitplan[[#Headers],['#]])),"")</f>
        <v>231</v>
      </c>
      <c r="C244" s="194">
        <f ca="1">IF(ZahlungsZeitplan[[#This Row],['#]]&lt;&gt;"",EOMONTH(DarlehensAnfangsDatum,ROW(ZahlungsZeitplan[[#This Row],['#]])-ROW(ZahlungsZeitplan[[#Headers],['#]])-2)+DAY(DarlehensAnfangsDatum),"")</f>
        <v>52325</v>
      </c>
      <c r="D244" s="195">
        <f ca="1">IF(ZahlungsZeitplan[[#This Row],['#]]&lt;&gt;"",IF(ROW()-ROW(ZahlungsZeitplan[[#Headers],[ANFANGSSALDO]])=1,DarlehensBetrag,INDEX(ZahlungsZeitplan[ENDSALDO],ROW()-ROW(ZahlungsZeitplan[[#Headers],[ANFANGSSALDO]])-1)),"")</f>
        <v>18057.364071658878</v>
      </c>
      <c r="E244" s="195">
        <f ca="1">IF(ZahlungsZeitplan[[#This Row],['#]]&lt;&gt;"",PlanmäßigeZahlung,"")</f>
        <v>645.29573460105871</v>
      </c>
      <c r="F244"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4"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4" s="195">
        <f ca="1">IF(ZahlungsZeitplan[[#This Row],['#]]&lt;&gt;"",ZahlungsZeitplan[[#This Row],[GESAMTZAHLUNG]]-ZahlungsZeitplan[[#This Row],[ZINSEN]],"")</f>
        <v>585.25499906279299</v>
      </c>
      <c r="I244" s="195">
        <f ca="1">IF(ZahlungsZeitplan[[#This Row],['#]]&lt;=($D$8*12),IF(ZahlungsZeitplan[[#This Row],['#]]&lt;&gt;"",ZahlungsZeitplan[[#This Row],[ANFANGSSALDO]]*(ZinsSatz/ZahlungenProJahr),""),IF(ZahlungsZeitplan[[#This Row],['#]]&lt;&gt;"",ZahlungsZeitplan[[#This Row],[ANFANGSSALDO]]*((ZinsSatz+$D$9)/ZahlungenProJahr),""))</f>
        <v>60.040735538265771</v>
      </c>
      <c r="J244" s="195">
        <f ca="1">IF(ZahlungsZeitplan[[#This Row],['#]]&lt;&gt;"",IF(ZahlungsZeitplan[[#This Row],[Zahlungen (Plan)]]+ZahlungsZeitplan[[#This Row],[SONDERZAHLUNG]]&lt;=ZahlungsZeitplan[[#This Row],[ANFANGSSALDO]],ZahlungsZeitplan[[#This Row],[ANFANGSSALDO]]-ZahlungsZeitplan[[#This Row],[KAPITAL]],0),"")</f>
        <v>17472.109072596086</v>
      </c>
      <c r="K244" s="195">
        <f ca="1">IF(ZahlungsZeitplan[[#This Row],['#]]&lt;&gt;"",SUM(INDEX(ZahlungsZeitplan[ZINSEN],1,1):ZahlungsZeitplan[[#This Row],[ZINSEN]]),"")</f>
        <v>32680.423765440581</v>
      </c>
    </row>
    <row r="245" spans="2:11">
      <c r="B245" s="193">
        <f ca="1">IF(DarlehenIstGut,IF(ROW()-ROW(ZahlungsZeitplan[[#Headers],['#]])&gt;PlanmäßigeAnzahlZahlungen,"",ROW()-ROW(ZahlungsZeitplan[[#Headers],['#]])),"")</f>
        <v>232</v>
      </c>
      <c r="C245" s="194">
        <f ca="1">IF(ZahlungsZeitplan[[#This Row],['#]]&lt;&gt;"",EOMONTH(DarlehensAnfangsDatum,ROW(ZahlungsZeitplan[[#This Row],['#]])-ROW(ZahlungsZeitplan[[#Headers],['#]])-2)+DAY(DarlehensAnfangsDatum),"")</f>
        <v>52355</v>
      </c>
      <c r="D245" s="195">
        <f ca="1">IF(ZahlungsZeitplan[[#This Row],['#]]&lt;&gt;"",IF(ROW()-ROW(ZahlungsZeitplan[[#Headers],[ANFANGSSALDO]])=1,DarlehensBetrag,INDEX(ZahlungsZeitplan[ENDSALDO],ROW()-ROW(ZahlungsZeitplan[[#Headers],[ANFANGSSALDO]])-1)),"")</f>
        <v>17472.109072596086</v>
      </c>
      <c r="E245" s="195">
        <f ca="1">IF(ZahlungsZeitplan[[#This Row],['#]]&lt;&gt;"",PlanmäßigeZahlung,"")</f>
        <v>645.29573460105871</v>
      </c>
      <c r="F245"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5"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5" s="195">
        <f ca="1">IF(ZahlungsZeitplan[[#This Row],['#]]&lt;&gt;"",ZahlungsZeitplan[[#This Row],[GESAMTZAHLUNG]]-ZahlungsZeitplan[[#This Row],[ZINSEN]],"")</f>
        <v>587.20097193467677</v>
      </c>
      <c r="I245" s="195">
        <f ca="1">IF(ZahlungsZeitplan[[#This Row],['#]]&lt;=($D$8*12),IF(ZahlungsZeitplan[[#This Row],['#]]&lt;&gt;"",ZahlungsZeitplan[[#This Row],[ANFANGSSALDO]]*(ZinsSatz/ZahlungenProJahr),""),IF(ZahlungsZeitplan[[#This Row],['#]]&lt;&gt;"",ZahlungsZeitplan[[#This Row],[ANFANGSSALDO]]*((ZinsSatz+$D$9)/ZahlungenProJahr),""))</f>
        <v>58.094762666381989</v>
      </c>
      <c r="J245" s="195">
        <f ca="1">IF(ZahlungsZeitplan[[#This Row],['#]]&lt;&gt;"",IF(ZahlungsZeitplan[[#This Row],[Zahlungen (Plan)]]+ZahlungsZeitplan[[#This Row],[SONDERZAHLUNG]]&lt;=ZahlungsZeitplan[[#This Row],[ANFANGSSALDO]],ZahlungsZeitplan[[#This Row],[ANFANGSSALDO]]-ZahlungsZeitplan[[#This Row],[KAPITAL]],0),"")</f>
        <v>16884.908100661411</v>
      </c>
      <c r="K245" s="195">
        <f ca="1">IF(ZahlungsZeitplan[[#This Row],['#]]&lt;&gt;"",SUM(INDEX(ZahlungsZeitplan[ZINSEN],1,1):ZahlungsZeitplan[[#This Row],[ZINSEN]]),"")</f>
        <v>32738.518528106964</v>
      </c>
    </row>
    <row r="246" spans="2:11">
      <c r="B246" s="193">
        <f ca="1">IF(DarlehenIstGut,IF(ROW()-ROW(ZahlungsZeitplan[[#Headers],['#]])&gt;PlanmäßigeAnzahlZahlungen,"",ROW()-ROW(ZahlungsZeitplan[[#Headers],['#]])),"")</f>
        <v>233</v>
      </c>
      <c r="C246" s="194">
        <f ca="1">IF(ZahlungsZeitplan[[#This Row],['#]]&lt;&gt;"",EOMONTH(DarlehensAnfangsDatum,ROW(ZahlungsZeitplan[[#This Row],['#]])-ROW(ZahlungsZeitplan[[#Headers],['#]])-2)+DAY(DarlehensAnfangsDatum),"")</f>
        <v>52386</v>
      </c>
      <c r="D246" s="195">
        <f ca="1">IF(ZahlungsZeitplan[[#This Row],['#]]&lt;&gt;"",IF(ROW()-ROW(ZahlungsZeitplan[[#Headers],[ANFANGSSALDO]])=1,DarlehensBetrag,INDEX(ZahlungsZeitplan[ENDSALDO],ROW()-ROW(ZahlungsZeitplan[[#Headers],[ANFANGSSALDO]])-1)),"")</f>
        <v>16884.908100661411</v>
      </c>
      <c r="E246" s="195">
        <f ca="1">IF(ZahlungsZeitplan[[#This Row],['#]]&lt;&gt;"",PlanmäßigeZahlung,"")</f>
        <v>645.29573460105871</v>
      </c>
      <c r="F246"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6"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6" s="195">
        <f ca="1">IF(ZahlungsZeitplan[[#This Row],['#]]&lt;&gt;"",ZahlungsZeitplan[[#This Row],[GESAMTZAHLUNG]]-ZahlungsZeitplan[[#This Row],[ZINSEN]],"")</f>
        <v>589.15341516635954</v>
      </c>
      <c r="I246" s="195">
        <f ca="1">IF(ZahlungsZeitplan[[#This Row],['#]]&lt;=($D$8*12),IF(ZahlungsZeitplan[[#This Row],['#]]&lt;&gt;"",ZahlungsZeitplan[[#This Row],[ANFANGSSALDO]]*(ZinsSatz/ZahlungenProJahr),""),IF(ZahlungsZeitplan[[#This Row],['#]]&lt;&gt;"",ZahlungsZeitplan[[#This Row],[ANFANGSSALDO]]*((ZinsSatz+$D$9)/ZahlungenProJahr),""))</f>
        <v>56.142319434699196</v>
      </c>
      <c r="J246" s="195">
        <f ca="1">IF(ZahlungsZeitplan[[#This Row],['#]]&lt;&gt;"",IF(ZahlungsZeitplan[[#This Row],[Zahlungen (Plan)]]+ZahlungsZeitplan[[#This Row],[SONDERZAHLUNG]]&lt;=ZahlungsZeitplan[[#This Row],[ANFANGSSALDO]],ZahlungsZeitplan[[#This Row],[ANFANGSSALDO]]-ZahlungsZeitplan[[#This Row],[KAPITAL]],0),"")</f>
        <v>16295.754685495051</v>
      </c>
      <c r="K246" s="195">
        <f ca="1">IF(ZahlungsZeitplan[[#This Row],['#]]&lt;&gt;"",SUM(INDEX(ZahlungsZeitplan[ZINSEN],1,1):ZahlungsZeitplan[[#This Row],[ZINSEN]]),"")</f>
        <v>32794.660847541665</v>
      </c>
    </row>
    <row r="247" spans="2:11">
      <c r="B247" s="193">
        <f ca="1">IF(DarlehenIstGut,IF(ROW()-ROW(ZahlungsZeitplan[[#Headers],['#]])&gt;PlanmäßigeAnzahlZahlungen,"",ROW()-ROW(ZahlungsZeitplan[[#Headers],['#]])),"")</f>
        <v>234</v>
      </c>
      <c r="C247" s="194">
        <f ca="1">IF(ZahlungsZeitplan[[#This Row],['#]]&lt;&gt;"",EOMONTH(DarlehensAnfangsDatum,ROW(ZahlungsZeitplan[[#This Row],['#]])-ROW(ZahlungsZeitplan[[#Headers],['#]])-2)+DAY(DarlehensAnfangsDatum),"")</f>
        <v>52416</v>
      </c>
      <c r="D247" s="195">
        <f ca="1">IF(ZahlungsZeitplan[[#This Row],['#]]&lt;&gt;"",IF(ROW()-ROW(ZahlungsZeitplan[[#Headers],[ANFANGSSALDO]])=1,DarlehensBetrag,INDEX(ZahlungsZeitplan[ENDSALDO],ROW()-ROW(ZahlungsZeitplan[[#Headers],[ANFANGSSALDO]])-1)),"")</f>
        <v>16295.754685495051</v>
      </c>
      <c r="E247" s="195">
        <f ca="1">IF(ZahlungsZeitplan[[#This Row],['#]]&lt;&gt;"",PlanmäßigeZahlung,"")</f>
        <v>645.29573460105871</v>
      </c>
      <c r="F247"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7"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7" s="195">
        <f ca="1">IF(ZahlungsZeitplan[[#This Row],['#]]&lt;&gt;"",ZahlungsZeitplan[[#This Row],[GESAMTZAHLUNG]]-ZahlungsZeitplan[[#This Row],[ZINSEN]],"")</f>
        <v>591.1123502717877</v>
      </c>
      <c r="I247" s="195">
        <f ca="1">IF(ZahlungsZeitplan[[#This Row],['#]]&lt;=($D$8*12),IF(ZahlungsZeitplan[[#This Row],['#]]&lt;&gt;"",ZahlungsZeitplan[[#This Row],[ANFANGSSALDO]]*(ZinsSatz/ZahlungenProJahr),""),IF(ZahlungsZeitplan[[#This Row],['#]]&lt;&gt;"",ZahlungsZeitplan[[#This Row],[ANFANGSSALDO]]*((ZinsSatz+$D$9)/ZahlungenProJahr),""))</f>
        <v>54.18338432927105</v>
      </c>
      <c r="J247" s="195">
        <f ca="1">IF(ZahlungsZeitplan[[#This Row],['#]]&lt;&gt;"",IF(ZahlungsZeitplan[[#This Row],[Zahlungen (Plan)]]+ZahlungsZeitplan[[#This Row],[SONDERZAHLUNG]]&lt;=ZahlungsZeitplan[[#This Row],[ANFANGSSALDO]],ZahlungsZeitplan[[#This Row],[ANFANGSSALDO]]-ZahlungsZeitplan[[#This Row],[KAPITAL]],0),"")</f>
        <v>15704.642335223263</v>
      </c>
      <c r="K247" s="195">
        <f ca="1">IF(ZahlungsZeitplan[[#This Row],['#]]&lt;&gt;"",SUM(INDEX(ZahlungsZeitplan[ZINSEN],1,1):ZahlungsZeitplan[[#This Row],[ZINSEN]]),"")</f>
        <v>32848.844231870935</v>
      </c>
    </row>
    <row r="248" spans="2:11">
      <c r="B248" s="193">
        <f ca="1">IF(DarlehenIstGut,IF(ROW()-ROW(ZahlungsZeitplan[[#Headers],['#]])&gt;PlanmäßigeAnzahlZahlungen,"",ROW()-ROW(ZahlungsZeitplan[[#Headers],['#]])),"")</f>
        <v>235</v>
      </c>
      <c r="C248" s="194">
        <f ca="1">IF(ZahlungsZeitplan[[#This Row],['#]]&lt;&gt;"",EOMONTH(DarlehensAnfangsDatum,ROW(ZahlungsZeitplan[[#This Row],['#]])-ROW(ZahlungsZeitplan[[#Headers],['#]])-2)+DAY(DarlehensAnfangsDatum),"")</f>
        <v>52447</v>
      </c>
      <c r="D248" s="195">
        <f ca="1">IF(ZahlungsZeitplan[[#This Row],['#]]&lt;&gt;"",IF(ROW()-ROW(ZahlungsZeitplan[[#Headers],[ANFANGSSALDO]])=1,DarlehensBetrag,INDEX(ZahlungsZeitplan[ENDSALDO],ROW()-ROW(ZahlungsZeitplan[[#Headers],[ANFANGSSALDO]])-1)),"")</f>
        <v>15704.642335223263</v>
      </c>
      <c r="E248" s="195">
        <f ca="1">IF(ZahlungsZeitplan[[#This Row],['#]]&lt;&gt;"",PlanmäßigeZahlung,"")</f>
        <v>645.29573460105871</v>
      </c>
      <c r="F248"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8"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8" s="195">
        <f ca="1">IF(ZahlungsZeitplan[[#This Row],['#]]&lt;&gt;"",ZahlungsZeitplan[[#This Row],[GESAMTZAHLUNG]]-ZahlungsZeitplan[[#This Row],[ZINSEN]],"")</f>
        <v>593.07779883644139</v>
      </c>
      <c r="I248" s="195">
        <f ca="1">IF(ZahlungsZeitplan[[#This Row],['#]]&lt;=($D$8*12),IF(ZahlungsZeitplan[[#This Row],['#]]&lt;&gt;"",ZahlungsZeitplan[[#This Row],[ANFANGSSALDO]]*(ZinsSatz/ZahlungenProJahr),""),IF(ZahlungsZeitplan[[#This Row],['#]]&lt;&gt;"",ZahlungsZeitplan[[#This Row],[ANFANGSSALDO]]*((ZinsSatz+$D$9)/ZahlungenProJahr),""))</f>
        <v>52.217935764617351</v>
      </c>
      <c r="J248" s="195">
        <f ca="1">IF(ZahlungsZeitplan[[#This Row],['#]]&lt;&gt;"",IF(ZahlungsZeitplan[[#This Row],[Zahlungen (Plan)]]+ZahlungsZeitplan[[#This Row],[SONDERZAHLUNG]]&lt;=ZahlungsZeitplan[[#This Row],[ANFANGSSALDO]],ZahlungsZeitplan[[#This Row],[ANFANGSSALDO]]-ZahlungsZeitplan[[#This Row],[KAPITAL]],0),"")</f>
        <v>15111.564536386823</v>
      </c>
      <c r="K248" s="195">
        <f ca="1">IF(ZahlungsZeitplan[[#This Row],['#]]&lt;&gt;"",SUM(INDEX(ZahlungsZeitplan[ZINSEN],1,1):ZahlungsZeitplan[[#This Row],[ZINSEN]]),"")</f>
        <v>32901.062167635551</v>
      </c>
    </row>
    <row r="249" spans="2:11">
      <c r="B249" s="193">
        <f ca="1">IF(DarlehenIstGut,IF(ROW()-ROW(ZahlungsZeitplan[[#Headers],['#]])&gt;PlanmäßigeAnzahlZahlungen,"",ROW()-ROW(ZahlungsZeitplan[[#Headers],['#]])),"")</f>
        <v>236</v>
      </c>
      <c r="C249" s="194">
        <f ca="1">IF(ZahlungsZeitplan[[#This Row],['#]]&lt;&gt;"",EOMONTH(DarlehensAnfangsDatum,ROW(ZahlungsZeitplan[[#This Row],['#]])-ROW(ZahlungsZeitplan[[#Headers],['#]])-2)+DAY(DarlehensAnfangsDatum),"")</f>
        <v>52478</v>
      </c>
      <c r="D249" s="195">
        <f ca="1">IF(ZahlungsZeitplan[[#This Row],['#]]&lt;&gt;"",IF(ROW()-ROW(ZahlungsZeitplan[[#Headers],[ANFANGSSALDO]])=1,DarlehensBetrag,INDEX(ZahlungsZeitplan[ENDSALDO],ROW()-ROW(ZahlungsZeitplan[[#Headers],[ANFANGSSALDO]])-1)),"")</f>
        <v>15111.564536386823</v>
      </c>
      <c r="E249" s="195">
        <f ca="1">IF(ZahlungsZeitplan[[#This Row],['#]]&lt;&gt;"",PlanmäßigeZahlung,"")</f>
        <v>645.29573460105871</v>
      </c>
      <c r="F249"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49"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49" s="195">
        <f ca="1">IF(ZahlungsZeitplan[[#This Row],['#]]&lt;&gt;"",ZahlungsZeitplan[[#This Row],[GESAMTZAHLUNG]]-ZahlungsZeitplan[[#This Row],[ZINSEN]],"")</f>
        <v>595.04978251757257</v>
      </c>
      <c r="I249" s="195">
        <f ca="1">IF(ZahlungsZeitplan[[#This Row],['#]]&lt;=($D$8*12),IF(ZahlungsZeitplan[[#This Row],['#]]&lt;&gt;"",ZahlungsZeitplan[[#This Row],[ANFANGSSALDO]]*(ZinsSatz/ZahlungenProJahr),""),IF(ZahlungsZeitplan[[#This Row],['#]]&lt;&gt;"",ZahlungsZeitplan[[#This Row],[ANFANGSSALDO]]*((ZinsSatz+$D$9)/ZahlungenProJahr),""))</f>
        <v>50.245952083486188</v>
      </c>
      <c r="J249" s="195">
        <f ca="1">IF(ZahlungsZeitplan[[#This Row],['#]]&lt;&gt;"",IF(ZahlungsZeitplan[[#This Row],[Zahlungen (Plan)]]+ZahlungsZeitplan[[#This Row],[SONDERZAHLUNG]]&lt;=ZahlungsZeitplan[[#This Row],[ANFANGSSALDO]],ZahlungsZeitplan[[#This Row],[ANFANGSSALDO]]-ZahlungsZeitplan[[#This Row],[KAPITAL]],0),"")</f>
        <v>14516.514753869251</v>
      </c>
      <c r="K249" s="195">
        <f ca="1">IF(ZahlungsZeitplan[[#This Row],['#]]&lt;&gt;"",SUM(INDEX(ZahlungsZeitplan[ZINSEN],1,1):ZahlungsZeitplan[[#This Row],[ZINSEN]]),"")</f>
        <v>32951.30811971904</v>
      </c>
    </row>
    <row r="250" spans="2:11">
      <c r="B250" s="193">
        <f ca="1">IF(DarlehenIstGut,IF(ROW()-ROW(ZahlungsZeitplan[[#Headers],['#]])&gt;PlanmäßigeAnzahlZahlungen,"",ROW()-ROW(ZahlungsZeitplan[[#Headers],['#]])),"")</f>
        <v>237</v>
      </c>
      <c r="C250" s="194">
        <f ca="1">IF(ZahlungsZeitplan[[#This Row],['#]]&lt;&gt;"",EOMONTH(DarlehensAnfangsDatum,ROW(ZahlungsZeitplan[[#This Row],['#]])-ROW(ZahlungsZeitplan[[#Headers],['#]])-2)+DAY(DarlehensAnfangsDatum),"")</f>
        <v>52508</v>
      </c>
      <c r="D250" s="195">
        <f ca="1">IF(ZahlungsZeitplan[[#This Row],['#]]&lt;&gt;"",IF(ROW()-ROW(ZahlungsZeitplan[[#Headers],[ANFANGSSALDO]])=1,DarlehensBetrag,INDEX(ZahlungsZeitplan[ENDSALDO],ROW()-ROW(ZahlungsZeitplan[[#Headers],[ANFANGSSALDO]])-1)),"")</f>
        <v>14516.514753869251</v>
      </c>
      <c r="E250" s="195">
        <f ca="1">IF(ZahlungsZeitplan[[#This Row],['#]]&lt;&gt;"",PlanmäßigeZahlung,"")</f>
        <v>645.29573460105871</v>
      </c>
      <c r="F250"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0"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50" s="195">
        <f ca="1">IF(ZahlungsZeitplan[[#This Row],['#]]&lt;&gt;"",ZahlungsZeitplan[[#This Row],[GESAMTZAHLUNG]]-ZahlungsZeitplan[[#This Row],[ZINSEN]],"")</f>
        <v>597.02832304444348</v>
      </c>
      <c r="I250" s="195">
        <f ca="1">IF(ZahlungsZeitplan[[#This Row],['#]]&lt;=($D$8*12),IF(ZahlungsZeitplan[[#This Row],['#]]&lt;&gt;"",ZahlungsZeitplan[[#This Row],[ANFANGSSALDO]]*(ZinsSatz/ZahlungenProJahr),""),IF(ZahlungsZeitplan[[#This Row],['#]]&lt;&gt;"",ZahlungsZeitplan[[#This Row],[ANFANGSSALDO]]*((ZinsSatz+$D$9)/ZahlungenProJahr),""))</f>
        <v>48.267411556615265</v>
      </c>
      <c r="J250" s="195">
        <f ca="1">IF(ZahlungsZeitplan[[#This Row],['#]]&lt;&gt;"",IF(ZahlungsZeitplan[[#This Row],[Zahlungen (Plan)]]+ZahlungsZeitplan[[#This Row],[SONDERZAHLUNG]]&lt;=ZahlungsZeitplan[[#This Row],[ANFANGSSALDO]],ZahlungsZeitplan[[#This Row],[ANFANGSSALDO]]-ZahlungsZeitplan[[#This Row],[KAPITAL]],0),"")</f>
        <v>13919.486430824807</v>
      </c>
      <c r="K250" s="195">
        <f ca="1">IF(ZahlungsZeitplan[[#This Row],['#]]&lt;&gt;"",SUM(INDEX(ZahlungsZeitplan[ZINSEN],1,1):ZahlungsZeitplan[[#This Row],[ZINSEN]]),"")</f>
        <v>32999.575531275659</v>
      </c>
    </row>
    <row r="251" spans="2:11">
      <c r="B251" s="193">
        <f ca="1">IF(DarlehenIstGut,IF(ROW()-ROW(ZahlungsZeitplan[[#Headers],['#]])&gt;PlanmäßigeAnzahlZahlungen,"",ROW()-ROW(ZahlungsZeitplan[[#Headers],['#]])),"")</f>
        <v>238</v>
      </c>
      <c r="C251" s="194">
        <f ca="1">IF(ZahlungsZeitplan[[#This Row],['#]]&lt;&gt;"",EOMONTH(DarlehensAnfangsDatum,ROW(ZahlungsZeitplan[[#This Row],['#]])-ROW(ZahlungsZeitplan[[#Headers],['#]])-2)+DAY(DarlehensAnfangsDatum),"")</f>
        <v>52539</v>
      </c>
      <c r="D251" s="195">
        <f ca="1">IF(ZahlungsZeitplan[[#This Row],['#]]&lt;&gt;"",IF(ROW()-ROW(ZahlungsZeitplan[[#Headers],[ANFANGSSALDO]])=1,DarlehensBetrag,INDEX(ZahlungsZeitplan[ENDSALDO],ROW()-ROW(ZahlungsZeitplan[[#Headers],[ANFANGSSALDO]])-1)),"")</f>
        <v>13919.486430824807</v>
      </c>
      <c r="E251" s="195">
        <f ca="1">IF(ZahlungsZeitplan[[#This Row],['#]]&lt;&gt;"",PlanmäßigeZahlung,"")</f>
        <v>645.29573460105871</v>
      </c>
      <c r="F251"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1"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51" s="195">
        <f ca="1">IF(ZahlungsZeitplan[[#This Row],['#]]&lt;&gt;"",ZahlungsZeitplan[[#This Row],[GESAMTZAHLUNG]]-ZahlungsZeitplan[[#This Row],[ZINSEN]],"")</f>
        <v>599.01344221856618</v>
      </c>
      <c r="I251" s="195">
        <f ca="1">IF(ZahlungsZeitplan[[#This Row],['#]]&lt;=($D$8*12),IF(ZahlungsZeitplan[[#This Row],['#]]&lt;&gt;"",ZahlungsZeitplan[[#This Row],[ANFANGSSALDO]]*(ZinsSatz/ZahlungenProJahr),""),IF(ZahlungsZeitplan[[#This Row],['#]]&lt;&gt;"",ZahlungsZeitplan[[#This Row],[ANFANGSSALDO]]*((ZinsSatz+$D$9)/ZahlungenProJahr),""))</f>
        <v>46.282292382492486</v>
      </c>
      <c r="J251" s="195">
        <f ca="1">IF(ZahlungsZeitplan[[#This Row],['#]]&lt;&gt;"",IF(ZahlungsZeitplan[[#This Row],[Zahlungen (Plan)]]+ZahlungsZeitplan[[#This Row],[SONDERZAHLUNG]]&lt;=ZahlungsZeitplan[[#This Row],[ANFANGSSALDO]],ZahlungsZeitplan[[#This Row],[ANFANGSSALDO]]-ZahlungsZeitplan[[#This Row],[KAPITAL]],0),"")</f>
        <v>13320.472988606241</v>
      </c>
      <c r="K251" s="195">
        <f ca="1">IF(ZahlungsZeitplan[[#This Row],['#]]&lt;&gt;"",SUM(INDEX(ZahlungsZeitplan[ZINSEN],1,1):ZahlungsZeitplan[[#This Row],[ZINSEN]]),"")</f>
        <v>33045.857823658152</v>
      </c>
    </row>
    <row r="252" spans="2:11">
      <c r="B252" s="193">
        <f ca="1">IF(DarlehenIstGut,IF(ROW()-ROW(ZahlungsZeitplan[[#Headers],['#]])&gt;PlanmäßigeAnzahlZahlungen,"",ROW()-ROW(ZahlungsZeitplan[[#Headers],['#]])),"")</f>
        <v>239</v>
      </c>
      <c r="C252" s="194">
        <f ca="1">IF(ZahlungsZeitplan[[#This Row],['#]]&lt;&gt;"",EOMONTH(DarlehensAnfangsDatum,ROW(ZahlungsZeitplan[[#This Row],['#]])-ROW(ZahlungsZeitplan[[#Headers],['#]])-2)+DAY(DarlehensAnfangsDatum),"")</f>
        <v>52569</v>
      </c>
      <c r="D252" s="195">
        <f ca="1">IF(ZahlungsZeitplan[[#This Row],['#]]&lt;&gt;"",IF(ROW()-ROW(ZahlungsZeitplan[[#Headers],[ANFANGSSALDO]])=1,DarlehensBetrag,INDEX(ZahlungsZeitplan[ENDSALDO],ROW()-ROW(ZahlungsZeitplan[[#Headers],[ANFANGSSALDO]])-1)),"")</f>
        <v>13320.472988606241</v>
      </c>
      <c r="E252" s="195">
        <f ca="1">IF(ZahlungsZeitplan[[#This Row],['#]]&lt;&gt;"",PlanmäßigeZahlung,"")</f>
        <v>645.29573460105871</v>
      </c>
      <c r="F252"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2"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52" s="195">
        <f ca="1">IF(ZahlungsZeitplan[[#This Row],['#]]&lt;&gt;"",ZahlungsZeitplan[[#This Row],[GESAMTZAHLUNG]]-ZahlungsZeitplan[[#This Row],[ZINSEN]],"")</f>
        <v>601.00516191394297</v>
      </c>
      <c r="I252" s="195">
        <f ca="1">IF(ZahlungsZeitplan[[#This Row],['#]]&lt;=($D$8*12),IF(ZahlungsZeitplan[[#This Row],['#]]&lt;&gt;"",ZahlungsZeitplan[[#This Row],[ANFANGSSALDO]]*(ZinsSatz/ZahlungenProJahr),""),IF(ZahlungsZeitplan[[#This Row],['#]]&lt;&gt;"",ZahlungsZeitplan[[#This Row],[ANFANGSSALDO]]*((ZinsSatz+$D$9)/ZahlungenProJahr),""))</f>
        <v>44.290572687115755</v>
      </c>
      <c r="J252" s="195">
        <f ca="1">IF(ZahlungsZeitplan[[#This Row],['#]]&lt;&gt;"",IF(ZahlungsZeitplan[[#This Row],[Zahlungen (Plan)]]+ZahlungsZeitplan[[#This Row],[SONDERZAHLUNG]]&lt;=ZahlungsZeitplan[[#This Row],[ANFANGSSALDO]],ZahlungsZeitplan[[#This Row],[ANFANGSSALDO]]-ZahlungsZeitplan[[#This Row],[KAPITAL]],0),"")</f>
        <v>12719.467826692298</v>
      </c>
      <c r="K252" s="195">
        <f ca="1">IF(ZahlungsZeitplan[[#This Row],['#]]&lt;&gt;"",SUM(INDEX(ZahlungsZeitplan[ZINSEN],1,1):ZahlungsZeitplan[[#This Row],[ZINSEN]]),"")</f>
        <v>33090.14839634527</v>
      </c>
    </row>
    <row r="253" spans="2:11">
      <c r="B253" s="193">
        <f ca="1">IF(DarlehenIstGut,IF(ROW()-ROW(ZahlungsZeitplan[[#Headers],['#]])&gt;PlanmäßigeAnzahlZahlungen,"",ROW()-ROW(ZahlungsZeitplan[[#Headers],['#]])),"")</f>
        <v>240</v>
      </c>
      <c r="C253" s="194">
        <f ca="1">IF(ZahlungsZeitplan[[#This Row],['#]]&lt;&gt;"",EOMONTH(DarlehensAnfangsDatum,ROW(ZahlungsZeitplan[[#This Row],['#]])-ROW(ZahlungsZeitplan[[#Headers],['#]])-2)+DAY(DarlehensAnfangsDatum),"")</f>
        <v>52600</v>
      </c>
      <c r="D253" s="195">
        <f ca="1">IF(ZahlungsZeitplan[[#This Row],['#]]&lt;&gt;"",IF(ROW()-ROW(ZahlungsZeitplan[[#Headers],[ANFANGSSALDO]])=1,DarlehensBetrag,INDEX(ZahlungsZeitplan[ENDSALDO],ROW()-ROW(ZahlungsZeitplan[[#Headers],[ANFANGSSALDO]])-1)),"")</f>
        <v>12719.467826692298</v>
      </c>
      <c r="E253" s="195">
        <f ca="1">IF(ZahlungsZeitplan[[#This Row],['#]]&lt;&gt;"",PlanmäßigeZahlung,"")</f>
        <v>645.29573460105871</v>
      </c>
      <c r="F253" s="195">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0</v>
      </c>
      <c r="G253" s="195">
        <f ca="1">IF(ZahlungsZeitplan[[#This Row],['#]]&lt;&gt;"",IF(ZahlungsZeitplan[[#This Row],[Zahlungen (Plan)]]+ZahlungsZeitplan[[#This Row],[SONDERZAHLUNG]]&lt;=ZahlungsZeitplan[[#This Row],[ANFANGSSALDO]],ZahlungsZeitplan[[#This Row],[Zahlungen (Plan)]]+ZahlungsZeitplan[[#This Row],[SONDERZAHLUNG]],ZahlungsZeitplan[[#This Row],[ANFANGSSALDO]]),"")</f>
        <v>645.29573460105871</v>
      </c>
      <c r="H253" s="195">
        <f ca="1">IF(ZahlungsZeitplan[[#This Row],['#]]&lt;&gt;"",ZahlungsZeitplan[[#This Row],[GESAMTZAHLUNG]]-ZahlungsZeitplan[[#This Row],[ZINSEN]],"")</f>
        <v>603.00350407730684</v>
      </c>
      <c r="I253" s="195">
        <f ca="1">IF(ZahlungsZeitplan[[#This Row],['#]]&lt;=($D$8*12),IF(ZahlungsZeitplan[[#This Row],['#]]&lt;&gt;"",ZahlungsZeitplan[[#This Row],[ANFANGSSALDO]]*(ZinsSatz/ZahlungenProJahr),""),IF(ZahlungsZeitplan[[#This Row],['#]]&lt;&gt;"",ZahlungsZeitplan[[#This Row],[ANFANGSSALDO]]*((ZinsSatz+$D$9)/ZahlungenProJahr),""))</f>
        <v>42.292230523751897</v>
      </c>
      <c r="J253" s="195">
        <f ca="1">IF(ZahlungsZeitplan[[#This Row],['#]]&lt;&gt;"",IF(ZahlungsZeitplan[[#This Row],[Zahlungen (Plan)]]+ZahlungsZeitplan[[#This Row],[SONDERZAHLUNG]]&lt;=ZahlungsZeitplan[[#This Row],[ANFANGSSALDO]],ZahlungsZeitplan[[#This Row],[ANFANGSSALDO]]-ZahlungsZeitplan[[#This Row],[KAPITAL]],0),"")</f>
        <v>12116.464322614991</v>
      </c>
      <c r="K253" s="195">
        <f ca="1">IF(ZahlungsZeitplan[[#This Row],['#]]&lt;&gt;"",SUM(INDEX(ZahlungsZeitplan[ZINSEN],1,1):ZahlungsZeitplan[[#This Row],[ZINSEN]]),"")</f>
        <v>33132.440626869022</v>
      </c>
    </row>
    <row r="254" spans="2:11">
      <c r="B254" s="193" t="str">
        <f ca="1">IF(DarlehenIstGut,IF(ROW()-ROW(ZahlungsZeitplan[[#Headers],['#]])&gt;PlanmäßigeAnzahlZahlungen,"",ROW()-ROW(ZahlungsZeitplan[[#Headers],['#]])),"")</f>
        <v/>
      </c>
      <c r="C254" s="194" t="str">
        <f ca="1">IF(ZahlungsZeitplan[[#This Row],['#]]&lt;&gt;"",EOMONTH(DarlehensAnfangsDatum,ROW(ZahlungsZeitplan[[#This Row],['#]])-ROW(ZahlungsZeitplan[[#Headers],['#]])-2)+DAY(DarlehensAnfangsDatum),"")</f>
        <v/>
      </c>
      <c r="D254" s="195" t="str">
        <f ca="1">IF(ZahlungsZeitplan[[#This Row],['#]]&lt;&gt;"",IF(ROW()-ROW(ZahlungsZeitplan[[#Headers],[ANFANGSSALDO]])=1,DarlehensBetrag,INDEX(ZahlungsZeitplan[ENDSALDO],ROW()-ROW(ZahlungsZeitplan[[#Headers],[ANFANGSSALDO]])-1)),"")</f>
        <v/>
      </c>
      <c r="E254" s="195" t="str">
        <f ca="1">IF(ZahlungsZeitplan[[#This Row],['#]]&lt;&gt;"",PlanmäßigeZahlung,"")</f>
        <v/>
      </c>
      <c r="F25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5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54" s="195" t="str">
        <f ca="1">IF(ZahlungsZeitplan[[#This Row],['#]]&lt;&gt;"",ZahlungsZeitplan[[#This Row],[GESAMTZAHLUNG]]-ZahlungsZeitplan[[#This Row],[ZINSEN]],"")</f>
        <v/>
      </c>
      <c r="I254" s="195" t="str">
        <f ca="1">IF(ZahlungsZeitplan[[#This Row],['#]]&lt;=($D$8*12),IF(ZahlungsZeitplan[[#This Row],['#]]&lt;&gt;"",ZahlungsZeitplan[[#This Row],[ANFANGSSALDO]]*(ZinsSatz/ZahlungenProJahr),""),IF(ZahlungsZeitplan[[#This Row],['#]]&lt;&gt;"",ZahlungsZeitplan[[#This Row],[ANFANGSSALDO]]*((ZinsSatz+$D$9)/ZahlungenProJahr),""))</f>
        <v/>
      </c>
      <c r="J254" s="195" t="str">
        <f ca="1">IF(ZahlungsZeitplan[[#This Row],['#]]&lt;&gt;"",IF(ZahlungsZeitplan[[#This Row],[Zahlungen (Plan)]]+ZahlungsZeitplan[[#This Row],[SONDERZAHLUNG]]&lt;=ZahlungsZeitplan[[#This Row],[ANFANGSSALDO]],ZahlungsZeitplan[[#This Row],[ANFANGSSALDO]]-ZahlungsZeitplan[[#This Row],[KAPITAL]],0),"")</f>
        <v/>
      </c>
      <c r="K254" s="195" t="str">
        <f ca="1">IF(ZahlungsZeitplan[[#This Row],['#]]&lt;&gt;"",SUM(INDEX(ZahlungsZeitplan[ZINSEN],1,1):ZahlungsZeitplan[[#This Row],[ZINSEN]]),"")</f>
        <v/>
      </c>
    </row>
    <row r="255" spans="2:11">
      <c r="B255" s="193" t="str">
        <f ca="1">IF(DarlehenIstGut,IF(ROW()-ROW(ZahlungsZeitplan[[#Headers],['#]])&gt;PlanmäßigeAnzahlZahlungen,"",ROW()-ROW(ZahlungsZeitplan[[#Headers],['#]])),"")</f>
        <v/>
      </c>
      <c r="C255" s="194" t="str">
        <f ca="1">IF(ZahlungsZeitplan[[#This Row],['#]]&lt;&gt;"",EOMONTH(DarlehensAnfangsDatum,ROW(ZahlungsZeitplan[[#This Row],['#]])-ROW(ZahlungsZeitplan[[#Headers],['#]])-2)+DAY(DarlehensAnfangsDatum),"")</f>
        <v/>
      </c>
      <c r="D255" s="195" t="str">
        <f ca="1">IF(ZahlungsZeitplan[[#This Row],['#]]&lt;&gt;"",IF(ROW()-ROW(ZahlungsZeitplan[[#Headers],[ANFANGSSALDO]])=1,DarlehensBetrag,INDEX(ZahlungsZeitplan[ENDSALDO],ROW()-ROW(ZahlungsZeitplan[[#Headers],[ANFANGSSALDO]])-1)),"")</f>
        <v/>
      </c>
      <c r="E255" s="195" t="str">
        <f ca="1">IF(ZahlungsZeitplan[[#This Row],['#]]&lt;&gt;"",PlanmäßigeZahlung,"")</f>
        <v/>
      </c>
      <c r="F25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5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55" s="195" t="str">
        <f ca="1">IF(ZahlungsZeitplan[[#This Row],['#]]&lt;&gt;"",ZahlungsZeitplan[[#This Row],[GESAMTZAHLUNG]]-ZahlungsZeitplan[[#This Row],[ZINSEN]],"")</f>
        <v/>
      </c>
      <c r="I255" s="195" t="str">
        <f ca="1">IF(ZahlungsZeitplan[[#This Row],['#]]&lt;=($D$8*12),IF(ZahlungsZeitplan[[#This Row],['#]]&lt;&gt;"",ZahlungsZeitplan[[#This Row],[ANFANGSSALDO]]*(ZinsSatz/ZahlungenProJahr),""),IF(ZahlungsZeitplan[[#This Row],['#]]&lt;&gt;"",ZahlungsZeitplan[[#This Row],[ANFANGSSALDO]]*((ZinsSatz+$D$9)/ZahlungenProJahr),""))</f>
        <v/>
      </c>
      <c r="J255" s="195" t="str">
        <f ca="1">IF(ZahlungsZeitplan[[#This Row],['#]]&lt;&gt;"",IF(ZahlungsZeitplan[[#This Row],[Zahlungen (Plan)]]+ZahlungsZeitplan[[#This Row],[SONDERZAHLUNG]]&lt;=ZahlungsZeitplan[[#This Row],[ANFANGSSALDO]],ZahlungsZeitplan[[#This Row],[ANFANGSSALDO]]-ZahlungsZeitplan[[#This Row],[KAPITAL]],0),"")</f>
        <v/>
      </c>
      <c r="K255" s="195" t="str">
        <f ca="1">IF(ZahlungsZeitplan[[#This Row],['#]]&lt;&gt;"",SUM(INDEX(ZahlungsZeitplan[ZINSEN],1,1):ZahlungsZeitplan[[#This Row],[ZINSEN]]),"")</f>
        <v/>
      </c>
    </row>
    <row r="256" spans="2:11">
      <c r="B256" s="193" t="str">
        <f ca="1">IF(DarlehenIstGut,IF(ROW()-ROW(ZahlungsZeitplan[[#Headers],['#]])&gt;PlanmäßigeAnzahlZahlungen,"",ROW()-ROW(ZahlungsZeitplan[[#Headers],['#]])),"")</f>
        <v/>
      </c>
      <c r="C256" s="194" t="str">
        <f ca="1">IF(ZahlungsZeitplan[[#This Row],['#]]&lt;&gt;"",EOMONTH(DarlehensAnfangsDatum,ROW(ZahlungsZeitplan[[#This Row],['#]])-ROW(ZahlungsZeitplan[[#Headers],['#]])-2)+DAY(DarlehensAnfangsDatum),"")</f>
        <v/>
      </c>
      <c r="D256" s="195" t="str">
        <f ca="1">IF(ZahlungsZeitplan[[#This Row],['#]]&lt;&gt;"",IF(ROW()-ROW(ZahlungsZeitplan[[#Headers],[ANFANGSSALDO]])=1,DarlehensBetrag,INDEX(ZahlungsZeitplan[ENDSALDO],ROW()-ROW(ZahlungsZeitplan[[#Headers],[ANFANGSSALDO]])-1)),"")</f>
        <v/>
      </c>
      <c r="E256" s="195" t="str">
        <f ca="1">IF(ZahlungsZeitplan[[#This Row],['#]]&lt;&gt;"",PlanmäßigeZahlung,"")</f>
        <v/>
      </c>
      <c r="F25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5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56" s="195" t="str">
        <f ca="1">IF(ZahlungsZeitplan[[#This Row],['#]]&lt;&gt;"",ZahlungsZeitplan[[#This Row],[GESAMTZAHLUNG]]-ZahlungsZeitplan[[#This Row],[ZINSEN]],"")</f>
        <v/>
      </c>
      <c r="I256" s="195" t="str">
        <f ca="1">IF(ZahlungsZeitplan[[#This Row],['#]]&lt;=($D$8*12),IF(ZahlungsZeitplan[[#This Row],['#]]&lt;&gt;"",ZahlungsZeitplan[[#This Row],[ANFANGSSALDO]]*(ZinsSatz/ZahlungenProJahr),""),IF(ZahlungsZeitplan[[#This Row],['#]]&lt;&gt;"",ZahlungsZeitplan[[#This Row],[ANFANGSSALDO]]*((ZinsSatz+$D$9)/ZahlungenProJahr),""))</f>
        <v/>
      </c>
      <c r="J256" s="195" t="str">
        <f ca="1">IF(ZahlungsZeitplan[[#This Row],['#]]&lt;&gt;"",IF(ZahlungsZeitplan[[#This Row],[Zahlungen (Plan)]]+ZahlungsZeitplan[[#This Row],[SONDERZAHLUNG]]&lt;=ZahlungsZeitplan[[#This Row],[ANFANGSSALDO]],ZahlungsZeitplan[[#This Row],[ANFANGSSALDO]]-ZahlungsZeitplan[[#This Row],[KAPITAL]],0),"")</f>
        <v/>
      </c>
      <c r="K256" s="195" t="str">
        <f ca="1">IF(ZahlungsZeitplan[[#This Row],['#]]&lt;&gt;"",SUM(INDEX(ZahlungsZeitplan[ZINSEN],1,1):ZahlungsZeitplan[[#This Row],[ZINSEN]]),"")</f>
        <v/>
      </c>
    </row>
    <row r="257" spans="2:11">
      <c r="B257" s="193" t="str">
        <f ca="1">IF(DarlehenIstGut,IF(ROW()-ROW(ZahlungsZeitplan[[#Headers],['#]])&gt;PlanmäßigeAnzahlZahlungen,"",ROW()-ROW(ZahlungsZeitplan[[#Headers],['#]])),"")</f>
        <v/>
      </c>
      <c r="C257" s="194" t="str">
        <f ca="1">IF(ZahlungsZeitplan[[#This Row],['#]]&lt;&gt;"",EOMONTH(DarlehensAnfangsDatum,ROW(ZahlungsZeitplan[[#This Row],['#]])-ROW(ZahlungsZeitplan[[#Headers],['#]])-2)+DAY(DarlehensAnfangsDatum),"")</f>
        <v/>
      </c>
      <c r="D257" s="195" t="str">
        <f ca="1">IF(ZahlungsZeitplan[[#This Row],['#]]&lt;&gt;"",IF(ROW()-ROW(ZahlungsZeitplan[[#Headers],[ANFANGSSALDO]])=1,DarlehensBetrag,INDEX(ZahlungsZeitplan[ENDSALDO],ROW()-ROW(ZahlungsZeitplan[[#Headers],[ANFANGSSALDO]])-1)),"")</f>
        <v/>
      </c>
      <c r="E257" s="195" t="str">
        <f ca="1">IF(ZahlungsZeitplan[[#This Row],['#]]&lt;&gt;"",PlanmäßigeZahlung,"")</f>
        <v/>
      </c>
      <c r="F25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5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57" s="195" t="str">
        <f ca="1">IF(ZahlungsZeitplan[[#This Row],['#]]&lt;&gt;"",ZahlungsZeitplan[[#This Row],[GESAMTZAHLUNG]]-ZahlungsZeitplan[[#This Row],[ZINSEN]],"")</f>
        <v/>
      </c>
      <c r="I257" s="195" t="str">
        <f ca="1">IF(ZahlungsZeitplan[[#This Row],['#]]&lt;=($D$8*12),IF(ZahlungsZeitplan[[#This Row],['#]]&lt;&gt;"",ZahlungsZeitplan[[#This Row],[ANFANGSSALDO]]*(ZinsSatz/ZahlungenProJahr),""),IF(ZahlungsZeitplan[[#This Row],['#]]&lt;&gt;"",ZahlungsZeitplan[[#This Row],[ANFANGSSALDO]]*((ZinsSatz+$D$9)/ZahlungenProJahr),""))</f>
        <v/>
      </c>
      <c r="J257" s="195" t="str">
        <f ca="1">IF(ZahlungsZeitplan[[#This Row],['#]]&lt;&gt;"",IF(ZahlungsZeitplan[[#This Row],[Zahlungen (Plan)]]+ZahlungsZeitplan[[#This Row],[SONDERZAHLUNG]]&lt;=ZahlungsZeitplan[[#This Row],[ANFANGSSALDO]],ZahlungsZeitplan[[#This Row],[ANFANGSSALDO]]-ZahlungsZeitplan[[#This Row],[KAPITAL]],0),"")</f>
        <v/>
      </c>
      <c r="K257" s="195" t="str">
        <f ca="1">IF(ZahlungsZeitplan[[#This Row],['#]]&lt;&gt;"",SUM(INDEX(ZahlungsZeitplan[ZINSEN],1,1):ZahlungsZeitplan[[#This Row],[ZINSEN]]),"")</f>
        <v/>
      </c>
    </row>
    <row r="258" spans="2:11">
      <c r="B258" s="193" t="str">
        <f ca="1">IF(DarlehenIstGut,IF(ROW()-ROW(ZahlungsZeitplan[[#Headers],['#]])&gt;PlanmäßigeAnzahlZahlungen,"",ROW()-ROW(ZahlungsZeitplan[[#Headers],['#]])),"")</f>
        <v/>
      </c>
      <c r="C258" s="194" t="str">
        <f ca="1">IF(ZahlungsZeitplan[[#This Row],['#]]&lt;&gt;"",EOMONTH(DarlehensAnfangsDatum,ROW(ZahlungsZeitplan[[#This Row],['#]])-ROW(ZahlungsZeitplan[[#Headers],['#]])-2)+DAY(DarlehensAnfangsDatum),"")</f>
        <v/>
      </c>
      <c r="D258" s="195" t="str">
        <f ca="1">IF(ZahlungsZeitplan[[#This Row],['#]]&lt;&gt;"",IF(ROW()-ROW(ZahlungsZeitplan[[#Headers],[ANFANGSSALDO]])=1,DarlehensBetrag,INDEX(ZahlungsZeitplan[ENDSALDO],ROW()-ROW(ZahlungsZeitplan[[#Headers],[ANFANGSSALDO]])-1)),"")</f>
        <v/>
      </c>
      <c r="E258" s="195" t="str">
        <f ca="1">IF(ZahlungsZeitplan[[#This Row],['#]]&lt;&gt;"",PlanmäßigeZahlung,"")</f>
        <v/>
      </c>
      <c r="F25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5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58" s="195" t="str">
        <f ca="1">IF(ZahlungsZeitplan[[#This Row],['#]]&lt;&gt;"",ZahlungsZeitplan[[#This Row],[GESAMTZAHLUNG]]-ZahlungsZeitplan[[#This Row],[ZINSEN]],"")</f>
        <v/>
      </c>
      <c r="I258" s="195" t="str">
        <f ca="1">IF(ZahlungsZeitplan[[#This Row],['#]]&lt;=($D$8*12),IF(ZahlungsZeitplan[[#This Row],['#]]&lt;&gt;"",ZahlungsZeitplan[[#This Row],[ANFANGSSALDO]]*(ZinsSatz/ZahlungenProJahr),""),IF(ZahlungsZeitplan[[#This Row],['#]]&lt;&gt;"",ZahlungsZeitplan[[#This Row],[ANFANGSSALDO]]*((ZinsSatz+$D$9)/ZahlungenProJahr),""))</f>
        <v/>
      </c>
      <c r="J258" s="195" t="str">
        <f ca="1">IF(ZahlungsZeitplan[[#This Row],['#]]&lt;&gt;"",IF(ZahlungsZeitplan[[#This Row],[Zahlungen (Plan)]]+ZahlungsZeitplan[[#This Row],[SONDERZAHLUNG]]&lt;=ZahlungsZeitplan[[#This Row],[ANFANGSSALDO]],ZahlungsZeitplan[[#This Row],[ANFANGSSALDO]]-ZahlungsZeitplan[[#This Row],[KAPITAL]],0),"")</f>
        <v/>
      </c>
      <c r="K258" s="195" t="str">
        <f ca="1">IF(ZahlungsZeitplan[[#This Row],['#]]&lt;&gt;"",SUM(INDEX(ZahlungsZeitplan[ZINSEN],1,1):ZahlungsZeitplan[[#This Row],[ZINSEN]]),"")</f>
        <v/>
      </c>
    </row>
    <row r="259" spans="2:11">
      <c r="B259" s="193" t="str">
        <f ca="1">IF(DarlehenIstGut,IF(ROW()-ROW(ZahlungsZeitplan[[#Headers],['#]])&gt;PlanmäßigeAnzahlZahlungen,"",ROW()-ROW(ZahlungsZeitplan[[#Headers],['#]])),"")</f>
        <v/>
      </c>
      <c r="C259" s="194" t="str">
        <f ca="1">IF(ZahlungsZeitplan[[#This Row],['#]]&lt;&gt;"",EOMONTH(DarlehensAnfangsDatum,ROW(ZahlungsZeitplan[[#This Row],['#]])-ROW(ZahlungsZeitplan[[#Headers],['#]])-2)+DAY(DarlehensAnfangsDatum),"")</f>
        <v/>
      </c>
      <c r="D259" s="195" t="str">
        <f ca="1">IF(ZahlungsZeitplan[[#This Row],['#]]&lt;&gt;"",IF(ROW()-ROW(ZahlungsZeitplan[[#Headers],[ANFANGSSALDO]])=1,DarlehensBetrag,INDEX(ZahlungsZeitplan[ENDSALDO],ROW()-ROW(ZahlungsZeitplan[[#Headers],[ANFANGSSALDO]])-1)),"")</f>
        <v/>
      </c>
      <c r="E259" s="195" t="str">
        <f ca="1">IF(ZahlungsZeitplan[[#This Row],['#]]&lt;&gt;"",PlanmäßigeZahlung,"")</f>
        <v/>
      </c>
      <c r="F25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5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59" s="195" t="str">
        <f ca="1">IF(ZahlungsZeitplan[[#This Row],['#]]&lt;&gt;"",ZahlungsZeitplan[[#This Row],[GESAMTZAHLUNG]]-ZahlungsZeitplan[[#This Row],[ZINSEN]],"")</f>
        <v/>
      </c>
      <c r="I259" s="195" t="str">
        <f ca="1">IF(ZahlungsZeitplan[[#This Row],['#]]&lt;=($D$8*12),IF(ZahlungsZeitplan[[#This Row],['#]]&lt;&gt;"",ZahlungsZeitplan[[#This Row],[ANFANGSSALDO]]*(ZinsSatz/ZahlungenProJahr),""),IF(ZahlungsZeitplan[[#This Row],['#]]&lt;&gt;"",ZahlungsZeitplan[[#This Row],[ANFANGSSALDO]]*((ZinsSatz+$D$9)/ZahlungenProJahr),""))</f>
        <v/>
      </c>
      <c r="J259" s="195" t="str">
        <f ca="1">IF(ZahlungsZeitplan[[#This Row],['#]]&lt;&gt;"",IF(ZahlungsZeitplan[[#This Row],[Zahlungen (Plan)]]+ZahlungsZeitplan[[#This Row],[SONDERZAHLUNG]]&lt;=ZahlungsZeitplan[[#This Row],[ANFANGSSALDO]],ZahlungsZeitplan[[#This Row],[ANFANGSSALDO]]-ZahlungsZeitplan[[#This Row],[KAPITAL]],0),"")</f>
        <v/>
      </c>
      <c r="K259" s="195" t="str">
        <f ca="1">IF(ZahlungsZeitplan[[#This Row],['#]]&lt;&gt;"",SUM(INDEX(ZahlungsZeitplan[ZINSEN],1,1):ZahlungsZeitplan[[#This Row],[ZINSEN]]),"")</f>
        <v/>
      </c>
    </row>
    <row r="260" spans="2:11">
      <c r="B260" s="193" t="str">
        <f ca="1">IF(DarlehenIstGut,IF(ROW()-ROW(ZahlungsZeitplan[[#Headers],['#]])&gt;PlanmäßigeAnzahlZahlungen,"",ROW()-ROW(ZahlungsZeitplan[[#Headers],['#]])),"")</f>
        <v/>
      </c>
      <c r="C260" s="194" t="str">
        <f ca="1">IF(ZahlungsZeitplan[[#This Row],['#]]&lt;&gt;"",EOMONTH(DarlehensAnfangsDatum,ROW(ZahlungsZeitplan[[#This Row],['#]])-ROW(ZahlungsZeitplan[[#Headers],['#]])-2)+DAY(DarlehensAnfangsDatum),"")</f>
        <v/>
      </c>
      <c r="D260" s="195" t="str">
        <f ca="1">IF(ZahlungsZeitplan[[#This Row],['#]]&lt;&gt;"",IF(ROW()-ROW(ZahlungsZeitplan[[#Headers],[ANFANGSSALDO]])=1,DarlehensBetrag,INDEX(ZahlungsZeitplan[ENDSALDO],ROW()-ROW(ZahlungsZeitplan[[#Headers],[ANFANGSSALDO]])-1)),"")</f>
        <v/>
      </c>
      <c r="E260" s="195" t="str">
        <f ca="1">IF(ZahlungsZeitplan[[#This Row],['#]]&lt;&gt;"",PlanmäßigeZahlung,"")</f>
        <v/>
      </c>
      <c r="F26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0" s="195" t="str">
        <f ca="1">IF(ZahlungsZeitplan[[#This Row],['#]]&lt;&gt;"",ZahlungsZeitplan[[#This Row],[GESAMTZAHLUNG]]-ZahlungsZeitplan[[#This Row],[ZINSEN]],"")</f>
        <v/>
      </c>
      <c r="I260" s="195" t="str">
        <f ca="1">IF(ZahlungsZeitplan[[#This Row],['#]]&lt;=($D$8*12),IF(ZahlungsZeitplan[[#This Row],['#]]&lt;&gt;"",ZahlungsZeitplan[[#This Row],[ANFANGSSALDO]]*(ZinsSatz/ZahlungenProJahr),""),IF(ZahlungsZeitplan[[#This Row],['#]]&lt;&gt;"",ZahlungsZeitplan[[#This Row],[ANFANGSSALDO]]*((ZinsSatz+$D$9)/ZahlungenProJahr),""))</f>
        <v/>
      </c>
      <c r="J260" s="195" t="str">
        <f ca="1">IF(ZahlungsZeitplan[[#This Row],['#]]&lt;&gt;"",IF(ZahlungsZeitplan[[#This Row],[Zahlungen (Plan)]]+ZahlungsZeitplan[[#This Row],[SONDERZAHLUNG]]&lt;=ZahlungsZeitplan[[#This Row],[ANFANGSSALDO]],ZahlungsZeitplan[[#This Row],[ANFANGSSALDO]]-ZahlungsZeitplan[[#This Row],[KAPITAL]],0),"")</f>
        <v/>
      </c>
      <c r="K260" s="195" t="str">
        <f ca="1">IF(ZahlungsZeitplan[[#This Row],['#]]&lt;&gt;"",SUM(INDEX(ZahlungsZeitplan[ZINSEN],1,1):ZahlungsZeitplan[[#This Row],[ZINSEN]]),"")</f>
        <v/>
      </c>
    </row>
    <row r="261" spans="2:11">
      <c r="B261" s="193" t="str">
        <f ca="1">IF(DarlehenIstGut,IF(ROW()-ROW(ZahlungsZeitplan[[#Headers],['#]])&gt;PlanmäßigeAnzahlZahlungen,"",ROW()-ROW(ZahlungsZeitplan[[#Headers],['#]])),"")</f>
        <v/>
      </c>
      <c r="C261" s="194" t="str">
        <f ca="1">IF(ZahlungsZeitplan[[#This Row],['#]]&lt;&gt;"",EOMONTH(DarlehensAnfangsDatum,ROW(ZahlungsZeitplan[[#This Row],['#]])-ROW(ZahlungsZeitplan[[#Headers],['#]])-2)+DAY(DarlehensAnfangsDatum),"")</f>
        <v/>
      </c>
      <c r="D261" s="195" t="str">
        <f ca="1">IF(ZahlungsZeitplan[[#This Row],['#]]&lt;&gt;"",IF(ROW()-ROW(ZahlungsZeitplan[[#Headers],[ANFANGSSALDO]])=1,DarlehensBetrag,INDEX(ZahlungsZeitplan[ENDSALDO],ROW()-ROW(ZahlungsZeitplan[[#Headers],[ANFANGSSALDO]])-1)),"")</f>
        <v/>
      </c>
      <c r="E261" s="195" t="str">
        <f ca="1">IF(ZahlungsZeitplan[[#This Row],['#]]&lt;&gt;"",PlanmäßigeZahlung,"")</f>
        <v/>
      </c>
      <c r="F26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1" s="195" t="str">
        <f ca="1">IF(ZahlungsZeitplan[[#This Row],['#]]&lt;&gt;"",ZahlungsZeitplan[[#This Row],[GESAMTZAHLUNG]]-ZahlungsZeitplan[[#This Row],[ZINSEN]],"")</f>
        <v/>
      </c>
      <c r="I261" s="195" t="str">
        <f ca="1">IF(ZahlungsZeitplan[[#This Row],['#]]&lt;=($D$8*12),IF(ZahlungsZeitplan[[#This Row],['#]]&lt;&gt;"",ZahlungsZeitplan[[#This Row],[ANFANGSSALDO]]*(ZinsSatz/ZahlungenProJahr),""),IF(ZahlungsZeitplan[[#This Row],['#]]&lt;&gt;"",ZahlungsZeitplan[[#This Row],[ANFANGSSALDO]]*((ZinsSatz+$D$9)/ZahlungenProJahr),""))</f>
        <v/>
      </c>
      <c r="J261" s="195" t="str">
        <f ca="1">IF(ZahlungsZeitplan[[#This Row],['#]]&lt;&gt;"",IF(ZahlungsZeitplan[[#This Row],[Zahlungen (Plan)]]+ZahlungsZeitplan[[#This Row],[SONDERZAHLUNG]]&lt;=ZahlungsZeitplan[[#This Row],[ANFANGSSALDO]],ZahlungsZeitplan[[#This Row],[ANFANGSSALDO]]-ZahlungsZeitplan[[#This Row],[KAPITAL]],0),"")</f>
        <v/>
      </c>
      <c r="K261" s="195" t="str">
        <f ca="1">IF(ZahlungsZeitplan[[#This Row],['#]]&lt;&gt;"",SUM(INDEX(ZahlungsZeitplan[ZINSEN],1,1):ZahlungsZeitplan[[#This Row],[ZINSEN]]),"")</f>
        <v/>
      </c>
    </row>
    <row r="262" spans="2:11">
      <c r="B262" s="193" t="str">
        <f ca="1">IF(DarlehenIstGut,IF(ROW()-ROW(ZahlungsZeitplan[[#Headers],['#]])&gt;PlanmäßigeAnzahlZahlungen,"",ROW()-ROW(ZahlungsZeitplan[[#Headers],['#]])),"")</f>
        <v/>
      </c>
      <c r="C262" s="194" t="str">
        <f ca="1">IF(ZahlungsZeitplan[[#This Row],['#]]&lt;&gt;"",EOMONTH(DarlehensAnfangsDatum,ROW(ZahlungsZeitplan[[#This Row],['#]])-ROW(ZahlungsZeitplan[[#Headers],['#]])-2)+DAY(DarlehensAnfangsDatum),"")</f>
        <v/>
      </c>
      <c r="D262" s="195" t="str">
        <f ca="1">IF(ZahlungsZeitplan[[#This Row],['#]]&lt;&gt;"",IF(ROW()-ROW(ZahlungsZeitplan[[#Headers],[ANFANGSSALDO]])=1,DarlehensBetrag,INDEX(ZahlungsZeitplan[ENDSALDO],ROW()-ROW(ZahlungsZeitplan[[#Headers],[ANFANGSSALDO]])-1)),"")</f>
        <v/>
      </c>
      <c r="E262" s="195" t="str">
        <f ca="1">IF(ZahlungsZeitplan[[#This Row],['#]]&lt;&gt;"",PlanmäßigeZahlung,"")</f>
        <v/>
      </c>
      <c r="F26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2" s="195" t="str">
        <f ca="1">IF(ZahlungsZeitplan[[#This Row],['#]]&lt;&gt;"",ZahlungsZeitplan[[#This Row],[GESAMTZAHLUNG]]-ZahlungsZeitplan[[#This Row],[ZINSEN]],"")</f>
        <v/>
      </c>
      <c r="I262" s="195" t="str">
        <f ca="1">IF(ZahlungsZeitplan[[#This Row],['#]]&lt;=($D$8*12),IF(ZahlungsZeitplan[[#This Row],['#]]&lt;&gt;"",ZahlungsZeitplan[[#This Row],[ANFANGSSALDO]]*(ZinsSatz/ZahlungenProJahr),""),IF(ZahlungsZeitplan[[#This Row],['#]]&lt;&gt;"",ZahlungsZeitplan[[#This Row],[ANFANGSSALDO]]*((ZinsSatz+$D$9)/ZahlungenProJahr),""))</f>
        <v/>
      </c>
      <c r="J262" s="195" t="str">
        <f ca="1">IF(ZahlungsZeitplan[[#This Row],['#]]&lt;&gt;"",IF(ZahlungsZeitplan[[#This Row],[Zahlungen (Plan)]]+ZahlungsZeitplan[[#This Row],[SONDERZAHLUNG]]&lt;=ZahlungsZeitplan[[#This Row],[ANFANGSSALDO]],ZahlungsZeitplan[[#This Row],[ANFANGSSALDO]]-ZahlungsZeitplan[[#This Row],[KAPITAL]],0),"")</f>
        <v/>
      </c>
      <c r="K262" s="195" t="str">
        <f ca="1">IF(ZahlungsZeitplan[[#This Row],['#]]&lt;&gt;"",SUM(INDEX(ZahlungsZeitplan[ZINSEN],1,1):ZahlungsZeitplan[[#This Row],[ZINSEN]]),"")</f>
        <v/>
      </c>
    </row>
    <row r="263" spans="2:11">
      <c r="B263" s="193" t="str">
        <f ca="1">IF(DarlehenIstGut,IF(ROW()-ROW(ZahlungsZeitplan[[#Headers],['#]])&gt;PlanmäßigeAnzahlZahlungen,"",ROW()-ROW(ZahlungsZeitplan[[#Headers],['#]])),"")</f>
        <v/>
      </c>
      <c r="C263" s="194" t="str">
        <f ca="1">IF(ZahlungsZeitplan[[#This Row],['#]]&lt;&gt;"",EOMONTH(DarlehensAnfangsDatum,ROW(ZahlungsZeitplan[[#This Row],['#]])-ROW(ZahlungsZeitplan[[#Headers],['#]])-2)+DAY(DarlehensAnfangsDatum),"")</f>
        <v/>
      </c>
      <c r="D263" s="195" t="str">
        <f ca="1">IF(ZahlungsZeitplan[[#This Row],['#]]&lt;&gt;"",IF(ROW()-ROW(ZahlungsZeitplan[[#Headers],[ANFANGSSALDO]])=1,DarlehensBetrag,INDEX(ZahlungsZeitplan[ENDSALDO],ROW()-ROW(ZahlungsZeitplan[[#Headers],[ANFANGSSALDO]])-1)),"")</f>
        <v/>
      </c>
      <c r="E263" s="195" t="str">
        <f ca="1">IF(ZahlungsZeitplan[[#This Row],['#]]&lt;&gt;"",PlanmäßigeZahlung,"")</f>
        <v/>
      </c>
      <c r="F26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3" s="195" t="str">
        <f ca="1">IF(ZahlungsZeitplan[[#This Row],['#]]&lt;&gt;"",ZahlungsZeitplan[[#This Row],[GESAMTZAHLUNG]]-ZahlungsZeitplan[[#This Row],[ZINSEN]],"")</f>
        <v/>
      </c>
      <c r="I263" s="195" t="str">
        <f ca="1">IF(ZahlungsZeitplan[[#This Row],['#]]&lt;=($D$8*12),IF(ZahlungsZeitplan[[#This Row],['#]]&lt;&gt;"",ZahlungsZeitplan[[#This Row],[ANFANGSSALDO]]*(ZinsSatz/ZahlungenProJahr),""),IF(ZahlungsZeitplan[[#This Row],['#]]&lt;&gt;"",ZahlungsZeitplan[[#This Row],[ANFANGSSALDO]]*((ZinsSatz+$D$9)/ZahlungenProJahr),""))</f>
        <v/>
      </c>
      <c r="J263" s="195" t="str">
        <f ca="1">IF(ZahlungsZeitplan[[#This Row],['#]]&lt;&gt;"",IF(ZahlungsZeitplan[[#This Row],[Zahlungen (Plan)]]+ZahlungsZeitplan[[#This Row],[SONDERZAHLUNG]]&lt;=ZahlungsZeitplan[[#This Row],[ANFANGSSALDO]],ZahlungsZeitplan[[#This Row],[ANFANGSSALDO]]-ZahlungsZeitplan[[#This Row],[KAPITAL]],0),"")</f>
        <v/>
      </c>
      <c r="K263" s="195" t="str">
        <f ca="1">IF(ZahlungsZeitplan[[#This Row],['#]]&lt;&gt;"",SUM(INDEX(ZahlungsZeitplan[ZINSEN],1,1):ZahlungsZeitplan[[#This Row],[ZINSEN]]),"")</f>
        <v/>
      </c>
    </row>
    <row r="264" spans="2:11">
      <c r="B264" s="193" t="str">
        <f ca="1">IF(DarlehenIstGut,IF(ROW()-ROW(ZahlungsZeitplan[[#Headers],['#]])&gt;PlanmäßigeAnzahlZahlungen,"",ROW()-ROW(ZahlungsZeitplan[[#Headers],['#]])),"")</f>
        <v/>
      </c>
      <c r="C264" s="194" t="str">
        <f ca="1">IF(ZahlungsZeitplan[[#This Row],['#]]&lt;&gt;"",EOMONTH(DarlehensAnfangsDatum,ROW(ZahlungsZeitplan[[#This Row],['#]])-ROW(ZahlungsZeitplan[[#Headers],['#]])-2)+DAY(DarlehensAnfangsDatum),"")</f>
        <v/>
      </c>
      <c r="D264" s="195" t="str">
        <f ca="1">IF(ZahlungsZeitplan[[#This Row],['#]]&lt;&gt;"",IF(ROW()-ROW(ZahlungsZeitplan[[#Headers],[ANFANGSSALDO]])=1,DarlehensBetrag,INDEX(ZahlungsZeitplan[ENDSALDO],ROW()-ROW(ZahlungsZeitplan[[#Headers],[ANFANGSSALDO]])-1)),"")</f>
        <v/>
      </c>
      <c r="E264" s="195" t="str">
        <f ca="1">IF(ZahlungsZeitplan[[#This Row],['#]]&lt;&gt;"",PlanmäßigeZahlung,"")</f>
        <v/>
      </c>
      <c r="F26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4" s="195" t="str">
        <f ca="1">IF(ZahlungsZeitplan[[#This Row],['#]]&lt;&gt;"",ZahlungsZeitplan[[#This Row],[GESAMTZAHLUNG]]-ZahlungsZeitplan[[#This Row],[ZINSEN]],"")</f>
        <v/>
      </c>
      <c r="I264" s="195" t="str">
        <f ca="1">IF(ZahlungsZeitplan[[#This Row],['#]]&lt;=($D$8*12),IF(ZahlungsZeitplan[[#This Row],['#]]&lt;&gt;"",ZahlungsZeitplan[[#This Row],[ANFANGSSALDO]]*(ZinsSatz/ZahlungenProJahr),""),IF(ZahlungsZeitplan[[#This Row],['#]]&lt;&gt;"",ZahlungsZeitplan[[#This Row],[ANFANGSSALDO]]*((ZinsSatz+$D$9)/ZahlungenProJahr),""))</f>
        <v/>
      </c>
      <c r="J264" s="195" t="str">
        <f ca="1">IF(ZahlungsZeitplan[[#This Row],['#]]&lt;&gt;"",IF(ZahlungsZeitplan[[#This Row],[Zahlungen (Plan)]]+ZahlungsZeitplan[[#This Row],[SONDERZAHLUNG]]&lt;=ZahlungsZeitplan[[#This Row],[ANFANGSSALDO]],ZahlungsZeitplan[[#This Row],[ANFANGSSALDO]]-ZahlungsZeitplan[[#This Row],[KAPITAL]],0),"")</f>
        <v/>
      </c>
      <c r="K264" s="195" t="str">
        <f ca="1">IF(ZahlungsZeitplan[[#This Row],['#]]&lt;&gt;"",SUM(INDEX(ZahlungsZeitplan[ZINSEN],1,1):ZahlungsZeitplan[[#This Row],[ZINSEN]]),"")</f>
        <v/>
      </c>
    </row>
    <row r="265" spans="2:11">
      <c r="B265" s="193" t="str">
        <f ca="1">IF(DarlehenIstGut,IF(ROW()-ROW(ZahlungsZeitplan[[#Headers],['#]])&gt;PlanmäßigeAnzahlZahlungen,"",ROW()-ROW(ZahlungsZeitplan[[#Headers],['#]])),"")</f>
        <v/>
      </c>
      <c r="C265" s="194" t="str">
        <f ca="1">IF(ZahlungsZeitplan[[#This Row],['#]]&lt;&gt;"",EOMONTH(DarlehensAnfangsDatum,ROW(ZahlungsZeitplan[[#This Row],['#]])-ROW(ZahlungsZeitplan[[#Headers],['#]])-2)+DAY(DarlehensAnfangsDatum),"")</f>
        <v/>
      </c>
      <c r="D265" s="195" t="str">
        <f ca="1">IF(ZahlungsZeitplan[[#This Row],['#]]&lt;&gt;"",IF(ROW()-ROW(ZahlungsZeitplan[[#Headers],[ANFANGSSALDO]])=1,DarlehensBetrag,INDEX(ZahlungsZeitplan[ENDSALDO],ROW()-ROW(ZahlungsZeitplan[[#Headers],[ANFANGSSALDO]])-1)),"")</f>
        <v/>
      </c>
      <c r="E265" s="195" t="str">
        <f ca="1">IF(ZahlungsZeitplan[[#This Row],['#]]&lt;&gt;"",PlanmäßigeZahlung,"")</f>
        <v/>
      </c>
      <c r="F26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5" s="195" t="str">
        <f ca="1">IF(ZahlungsZeitplan[[#This Row],['#]]&lt;&gt;"",ZahlungsZeitplan[[#This Row],[GESAMTZAHLUNG]]-ZahlungsZeitplan[[#This Row],[ZINSEN]],"")</f>
        <v/>
      </c>
      <c r="I265" s="195" t="str">
        <f ca="1">IF(ZahlungsZeitplan[[#This Row],['#]]&lt;=($D$8*12),IF(ZahlungsZeitplan[[#This Row],['#]]&lt;&gt;"",ZahlungsZeitplan[[#This Row],[ANFANGSSALDO]]*(ZinsSatz/ZahlungenProJahr),""),IF(ZahlungsZeitplan[[#This Row],['#]]&lt;&gt;"",ZahlungsZeitplan[[#This Row],[ANFANGSSALDO]]*((ZinsSatz+$D$9)/ZahlungenProJahr),""))</f>
        <v/>
      </c>
      <c r="J265" s="195" t="str">
        <f ca="1">IF(ZahlungsZeitplan[[#This Row],['#]]&lt;&gt;"",IF(ZahlungsZeitplan[[#This Row],[Zahlungen (Plan)]]+ZahlungsZeitplan[[#This Row],[SONDERZAHLUNG]]&lt;=ZahlungsZeitplan[[#This Row],[ANFANGSSALDO]],ZahlungsZeitplan[[#This Row],[ANFANGSSALDO]]-ZahlungsZeitplan[[#This Row],[KAPITAL]],0),"")</f>
        <v/>
      </c>
      <c r="K265" s="195" t="str">
        <f ca="1">IF(ZahlungsZeitplan[[#This Row],['#]]&lt;&gt;"",SUM(INDEX(ZahlungsZeitplan[ZINSEN],1,1):ZahlungsZeitplan[[#This Row],[ZINSEN]]),"")</f>
        <v/>
      </c>
    </row>
    <row r="266" spans="2:11">
      <c r="B266" s="193" t="str">
        <f ca="1">IF(DarlehenIstGut,IF(ROW()-ROW(ZahlungsZeitplan[[#Headers],['#]])&gt;PlanmäßigeAnzahlZahlungen,"",ROW()-ROW(ZahlungsZeitplan[[#Headers],['#]])),"")</f>
        <v/>
      </c>
      <c r="C266" s="194" t="str">
        <f ca="1">IF(ZahlungsZeitplan[[#This Row],['#]]&lt;&gt;"",EOMONTH(DarlehensAnfangsDatum,ROW(ZahlungsZeitplan[[#This Row],['#]])-ROW(ZahlungsZeitplan[[#Headers],['#]])-2)+DAY(DarlehensAnfangsDatum),"")</f>
        <v/>
      </c>
      <c r="D266" s="195" t="str">
        <f ca="1">IF(ZahlungsZeitplan[[#This Row],['#]]&lt;&gt;"",IF(ROW()-ROW(ZahlungsZeitplan[[#Headers],[ANFANGSSALDO]])=1,DarlehensBetrag,INDEX(ZahlungsZeitplan[ENDSALDO],ROW()-ROW(ZahlungsZeitplan[[#Headers],[ANFANGSSALDO]])-1)),"")</f>
        <v/>
      </c>
      <c r="E266" s="195" t="str">
        <f ca="1">IF(ZahlungsZeitplan[[#This Row],['#]]&lt;&gt;"",PlanmäßigeZahlung,"")</f>
        <v/>
      </c>
      <c r="F26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6" s="195" t="str">
        <f ca="1">IF(ZahlungsZeitplan[[#This Row],['#]]&lt;&gt;"",ZahlungsZeitplan[[#This Row],[GESAMTZAHLUNG]]-ZahlungsZeitplan[[#This Row],[ZINSEN]],"")</f>
        <v/>
      </c>
      <c r="I266" s="195" t="str">
        <f ca="1">IF(ZahlungsZeitplan[[#This Row],['#]]&lt;=($D$8*12),IF(ZahlungsZeitplan[[#This Row],['#]]&lt;&gt;"",ZahlungsZeitplan[[#This Row],[ANFANGSSALDO]]*(ZinsSatz/ZahlungenProJahr),""),IF(ZahlungsZeitplan[[#This Row],['#]]&lt;&gt;"",ZahlungsZeitplan[[#This Row],[ANFANGSSALDO]]*((ZinsSatz+$D$9)/ZahlungenProJahr),""))</f>
        <v/>
      </c>
      <c r="J266" s="195" t="str">
        <f ca="1">IF(ZahlungsZeitplan[[#This Row],['#]]&lt;&gt;"",IF(ZahlungsZeitplan[[#This Row],[Zahlungen (Plan)]]+ZahlungsZeitplan[[#This Row],[SONDERZAHLUNG]]&lt;=ZahlungsZeitplan[[#This Row],[ANFANGSSALDO]],ZahlungsZeitplan[[#This Row],[ANFANGSSALDO]]-ZahlungsZeitplan[[#This Row],[KAPITAL]],0),"")</f>
        <v/>
      </c>
      <c r="K266" s="195" t="str">
        <f ca="1">IF(ZahlungsZeitplan[[#This Row],['#]]&lt;&gt;"",SUM(INDEX(ZahlungsZeitplan[ZINSEN],1,1):ZahlungsZeitplan[[#This Row],[ZINSEN]]),"")</f>
        <v/>
      </c>
    </row>
    <row r="267" spans="2:11">
      <c r="B267" s="193" t="str">
        <f ca="1">IF(DarlehenIstGut,IF(ROW()-ROW(ZahlungsZeitplan[[#Headers],['#]])&gt;PlanmäßigeAnzahlZahlungen,"",ROW()-ROW(ZahlungsZeitplan[[#Headers],['#]])),"")</f>
        <v/>
      </c>
      <c r="C267" s="194" t="str">
        <f ca="1">IF(ZahlungsZeitplan[[#This Row],['#]]&lt;&gt;"",EOMONTH(DarlehensAnfangsDatum,ROW(ZahlungsZeitplan[[#This Row],['#]])-ROW(ZahlungsZeitplan[[#Headers],['#]])-2)+DAY(DarlehensAnfangsDatum),"")</f>
        <v/>
      </c>
      <c r="D267" s="195" t="str">
        <f ca="1">IF(ZahlungsZeitplan[[#This Row],['#]]&lt;&gt;"",IF(ROW()-ROW(ZahlungsZeitplan[[#Headers],[ANFANGSSALDO]])=1,DarlehensBetrag,INDEX(ZahlungsZeitplan[ENDSALDO],ROW()-ROW(ZahlungsZeitplan[[#Headers],[ANFANGSSALDO]])-1)),"")</f>
        <v/>
      </c>
      <c r="E267" s="195" t="str">
        <f ca="1">IF(ZahlungsZeitplan[[#This Row],['#]]&lt;&gt;"",PlanmäßigeZahlung,"")</f>
        <v/>
      </c>
      <c r="F26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7" s="195" t="str">
        <f ca="1">IF(ZahlungsZeitplan[[#This Row],['#]]&lt;&gt;"",ZahlungsZeitplan[[#This Row],[GESAMTZAHLUNG]]-ZahlungsZeitplan[[#This Row],[ZINSEN]],"")</f>
        <v/>
      </c>
      <c r="I267" s="195" t="str">
        <f ca="1">IF(ZahlungsZeitplan[[#This Row],['#]]&lt;=($D$8*12),IF(ZahlungsZeitplan[[#This Row],['#]]&lt;&gt;"",ZahlungsZeitplan[[#This Row],[ANFANGSSALDO]]*(ZinsSatz/ZahlungenProJahr),""),IF(ZahlungsZeitplan[[#This Row],['#]]&lt;&gt;"",ZahlungsZeitplan[[#This Row],[ANFANGSSALDO]]*((ZinsSatz+$D$9)/ZahlungenProJahr),""))</f>
        <v/>
      </c>
      <c r="J267" s="195" t="str">
        <f ca="1">IF(ZahlungsZeitplan[[#This Row],['#]]&lt;&gt;"",IF(ZahlungsZeitplan[[#This Row],[Zahlungen (Plan)]]+ZahlungsZeitplan[[#This Row],[SONDERZAHLUNG]]&lt;=ZahlungsZeitplan[[#This Row],[ANFANGSSALDO]],ZahlungsZeitplan[[#This Row],[ANFANGSSALDO]]-ZahlungsZeitplan[[#This Row],[KAPITAL]],0),"")</f>
        <v/>
      </c>
      <c r="K267" s="195" t="str">
        <f ca="1">IF(ZahlungsZeitplan[[#This Row],['#]]&lt;&gt;"",SUM(INDEX(ZahlungsZeitplan[ZINSEN],1,1):ZahlungsZeitplan[[#This Row],[ZINSEN]]),"")</f>
        <v/>
      </c>
    </row>
    <row r="268" spans="2:11">
      <c r="B268" s="193" t="str">
        <f ca="1">IF(DarlehenIstGut,IF(ROW()-ROW(ZahlungsZeitplan[[#Headers],['#]])&gt;PlanmäßigeAnzahlZahlungen,"",ROW()-ROW(ZahlungsZeitplan[[#Headers],['#]])),"")</f>
        <v/>
      </c>
      <c r="C268" s="194" t="str">
        <f ca="1">IF(ZahlungsZeitplan[[#This Row],['#]]&lt;&gt;"",EOMONTH(DarlehensAnfangsDatum,ROW(ZahlungsZeitplan[[#This Row],['#]])-ROW(ZahlungsZeitplan[[#Headers],['#]])-2)+DAY(DarlehensAnfangsDatum),"")</f>
        <v/>
      </c>
      <c r="D268" s="195" t="str">
        <f ca="1">IF(ZahlungsZeitplan[[#This Row],['#]]&lt;&gt;"",IF(ROW()-ROW(ZahlungsZeitplan[[#Headers],[ANFANGSSALDO]])=1,DarlehensBetrag,INDEX(ZahlungsZeitplan[ENDSALDO],ROW()-ROW(ZahlungsZeitplan[[#Headers],[ANFANGSSALDO]])-1)),"")</f>
        <v/>
      </c>
      <c r="E268" s="195" t="str">
        <f ca="1">IF(ZahlungsZeitplan[[#This Row],['#]]&lt;&gt;"",PlanmäßigeZahlung,"")</f>
        <v/>
      </c>
      <c r="F26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8" s="195" t="str">
        <f ca="1">IF(ZahlungsZeitplan[[#This Row],['#]]&lt;&gt;"",ZahlungsZeitplan[[#This Row],[GESAMTZAHLUNG]]-ZahlungsZeitplan[[#This Row],[ZINSEN]],"")</f>
        <v/>
      </c>
      <c r="I268" s="195" t="str">
        <f ca="1">IF(ZahlungsZeitplan[[#This Row],['#]]&lt;=($D$8*12),IF(ZahlungsZeitplan[[#This Row],['#]]&lt;&gt;"",ZahlungsZeitplan[[#This Row],[ANFANGSSALDO]]*(ZinsSatz/ZahlungenProJahr),""),IF(ZahlungsZeitplan[[#This Row],['#]]&lt;&gt;"",ZahlungsZeitplan[[#This Row],[ANFANGSSALDO]]*((ZinsSatz+$D$9)/ZahlungenProJahr),""))</f>
        <v/>
      </c>
      <c r="J268" s="195" t="str">
        <f ca="1">IF(ZahlungsZeitplan[[#This Row],['#]]&lt;&gt;"",IF(ZahlungsZeitplan[[#This Row],[Zahlungen (Plan)]]+ZahlungsZeitplan[[#This Row],[SONDERZAHLUNG]]&lt;=ZahlungsZeitplan[[#This Row],[ANFANGSSALDO]],ZahlungsZeitplan[[#This Row],[ANFANGSSALDO]]-ZahlungsZeitplan[[#This Row],[KAPITAL]],0),"")</f>
        <v/>
      </c>
      <c r="K268" s="195" t="str">
        <f ca="1">IF(ZahlungsZeitplan[[#This Row],['#]]&lt;&gt;"",SUM(INDEX(ZahlungsZeitplan[ZINSEN],1,1):ZahlungsZeitplan[[#This Row],[ZINSEN]]),"")</f>
        <v/>
      </c>
    </row>
    <row r="269" spans="2:11">
      <c r="B269" s="193" t="str">
        <f ca="1">IF(DarlehenIstGut,IF(ROW()-ROW(ZahlungsZeitplan[[#Headers],['#]])&gt;PlanmäßigeAnzahlZahlungen,"",ROW()-ROW(ZahlungsZeitplan[[#Headers],['#]])),"")</f>
        <v/>
      </c>
      <c r="C269" s="194" t="str">
        <f ca="1">IF(ZahlungsZeitplan[[#This Row],['#]]&lt;&gt;"",EOMONTH(DarlehensAnfangsDatum,ROW(ZahlungsZeitplan[[#This Row],['#]])-ROW(ZahlungsZeitplan[[#Headers],['#]])-2)+DAY(DarlehensAnfangsDatum),"")</f>
        <v/>
      </c>
      <c r="D269" s="195" t="str">
        <f ca="1">IF(ZahlungsZeitplan[[#This Row],['#]]&lt;&gt;"",IF(ROW()-ROW(ZahlungsZeitplan[[#Headers],[ANFANGSSALDO]])=1,DarlehensBetrag,INDEX(ZahlungsZeitplan[ENDSALDO],ROW()-ROW(ZahlungsZeitplan[[#Headers],[ANFANGSSALDO]])-1)),"")</f>
        <v/>
      </c>
      <c r="E269" s="195" t="str">
        <f ca="1">IF(ZahlungsZeitplan[[#This Row],['#]]&lt;&gt;"",PlanmäßigeZahlung,"")</f>
        <v/>
      </c>
      <c r="F26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6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69" s="195" t="str">
        <f ca="1">IF(ZahlungsZeitplan[[#This Row],['#]]&lt;&gt;"",ZahlungsZeitplan[[#This Row],[GESAMTZAHLUNG]]-ZahlungsZeitplan[[#This Row],[ZINSEN]],"")</f>
        <v/>
      </c>
      <c r="I269" s="195" t="str">
        <f ca="1">IF(ZahlungsZeitplan[[#This Row],['#]]&lt;=($D$8*12),IF(ZahlungsZeitplan[[#This Row],['#]]&lt;&gt;"",ZahlungsZeitplan[[#This Row],[ANFANGSSALDO]]*(ZinsSatz/ZahlungenProJahr),""),IF(ZahlungsZeitplan[[#This Row],['#]]&lt;&gt;"",ZahlungsZeitplan[[#This Row],[ANFANGSSALDO]]*((ZinsSatz+$D$9)/ZahlungenProJahr),""))</f>
        <v/>
      </c>
      <c r="J269" s="195" t="str">
        <f ca="1">IF(ZahlungsZeitplan[[#This Row],['#]]&lt;&gt;"",IF(ZahlungsZeitplan[[#This Row],[Zahlungen (Plan)]]+ZahlungsZeitplan[[#This Row],[SONDERZAHLUNG]]&lt;=ZahlungsZeitplan[[#This Row],[ANFANGSSALDO]],ZahlungsZeitplan[[#This Row],[ANFANGSSALDO]]-ZahlungsZeitplan[[#This Row],[KAPITAL]],0),"")</f>
        <v/>
      </c>
      <c r="K269" s="195" t="str">
        <f ca="1">IF(ZahlungsZeitplan[[#This Row],['#]]&lt;&gt;"",SUM(INDEX(ZahlungsZeitplan[ZINSEN],1,1):ZahlungsZeitplan[[#This Row],[ZINSEN]]),"")</f>
        <v/>
      </c>
    </row>
    <row r="270" spans="2:11">
      <c r="B270" s="193" t="str">
        <f ca="1">IF(DarlehenIstGut,IF(ROW()-ROW(ZahlungsZeitplan[[#Headers],['#]])&gt;PlanmäßigeAnzahlZahlungen,"",ROW()-ROW(ZahlungsZeitplan[[#Headers],['#]])),"")</f>
        <v/>
      </c>
      <c r="C270" s="194" t="str">
        <f ca="1">IF(ZahlungsZeitplan[[#This Row],['#]]&lt;&gt;"",EOMONTH(DarlehensAnfangsDatum,ROW(ZahlungsZeitplan[[#This Row],['#]])-ROW(ZahlungsZeitplan[[#Headers],['#]])-2)+DAY(DarlehensAnfangsDatum),"")</f>
        <v/>
      </c>
      <c r="D270" s="195" t="str">
        <f ca="1">IF(ZahlungsZeitplan[[#This Row],['#]]&lt;&gt;"",IF(ROW()-ROW(ZahlungsZeitplan[[#Headers],[ANFANGSSALDO]])=1,DarlehensBetrag,INDEX(ZahlungsZeitplan[ENDSALDO],ROW()-ROW(ZahlungsZeitplan[[#Headers],[ANFANGSSALDO]])-1)),"")</f>
        <v/>
      </c>
      <c r="E270" s="195" t="str">
        <f ca="1">IF(ZahlungsZeitplan[[#This Row],['#]]&lt;&gt;"",PlanmäßigeZahlung,"")</f>
        <v/>
      </c>
      <c r="F27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0" s="195" t="str">
        <f ca="1">IF(ZahlungsZeitplan[[#This Row],['#]]&lt;&gt;"",ZahlungsZeitplan[[#This Row],[GESAMTZAHLUNG]]-ZahlungsZeitplan[[#This Row],[ZINSEN]],"")</f>
        <v/>
      </c>
      <c r="I270" s="195" t="str">
        <f ca="1">IF(ZahlungsZeitplan[[#This Row],['#]]&lt;=($D$8*12),IF(ZahlungsZeitplan[[#This Row],['#]]&lt;&gt;"",ZahlungsZeitplan[[#This Row],[ANFANGSSALDO]]*(ZinsSatz/ZahlungenProJahr),""),IF(ZahlungsZeitplan[[#This Row],['#]]&lt;&gt;"",ZahlungsZeitplan[[#This Row],[ANFANGSSALDO]]*((ZinsSatz+$D$9)/ZahlungenProJahr),""))</f>
        <v/>
      </c>
      <c r="J270" s="195" t="str">
        <f ca="1">IF(ZahlungsZeitplan[[#This Row],['#]]&lt;&gt;"",IF(ZahlungsZeitplan[[#This Row],[Zahlungen (Plan)]]+ZahlungsZeitplan[[#This Row],[SONDERZAHLUNG]]&lt;=ZahlungsZeitplan[[#This Row],[ANFANGSSALDO]],ZahlungsZeitplan[[#This Row],[ANFANGSSALDO]]-ZahlungsZeitplan[[#This Row],[KAPITAL]],0),"")</f>
        <v/>
      </c>
      <c r="K270" s="195" t="str">
        <f ca="1">IF(ZahlungsZeitplan[[#This Row],['#]]&lt;&gt;"",SUM(INDEX(ZahlungsZeitplan[ZINSEN],1,1):ZahlungsZeitplan[[#This Row],[ZINSEN]]),"")</f>
        <v/>
      </c>
    </row>
    <row r="271" spans="2:11">
      <c r="B271" s="193" t="str">
        <f ca="1">IF(DarlehenIstGut,IF(ROW()-ROW(ZahlungsZeitplan[[#Headers],['#]])&gt;PlanmäßigeAnzahlZahlungen,"",ROW()-ROW(ZahlungsZeitplan[[#Headers],['#]])),"")</f>
        <v/>
      </c>
      <c r="C271" s="194" t="str">
        <f ca="1">IF(ZahlungsZeitplan[[#This Row],['#]]&lt;&gt;"",EOMONTH(DarlehensAnfangsDatum,ROW(ZahlungsZeitplan[[#This Row],['#]])-ROW(ZahlungsZeitplan[[#Headers],['#]])-2)+DAY(DarlehensAnfangsDatum),"")</f>
        <v/>
      </c>
      <c r="D271" s="195" t="str">
        <f ca="1">IF(ZahlungsZeitplan[[#This Row],['#]]&lt;&gt;"",IF(ROW()-ROW(ZahlungsZeitplan[[#Headers],[ANFANGSSALDO]])=1,DarlehensBetrag,INDEX(ZahlungsZeitplan[ENDSALDO],ROW()-ROW(ZahlungsZeitplan[[#Headers],[ANFANGSSALDO]])-1)),"")</f>
        <v/>
      </c>
      <c r="E271" s="195" t="str">
        <f ca="1">IF(ZahlungsZeitplan[[#This Row],['#]]&lt;&gt;"",PlanmäßigeZahlung,"")</f>
        <v/>
      </c>
      <c r="F27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1" s="195" t="str">
        <f ca="1">IF(ZahlungsZeitplan[[#This Row],['#]]&lt;&gt;"",ZahlungsZeitplan[[#This Row],[GESAMTZAHLUNG]]-ZahlungsZeitplan[[#This Row],[ZINSEN]],"")</f>
        <v/>
      </c>
      <c r="I271" s="195" t="str">
        <f ca="1">IF(ZahlungsZeitplan[[#This Row],['#]]&lt;=($D$8*12),IF(ZahlungsZeitplan[[#This Row],['#]]&lt;&gt;"",ZahlungsZeitplan[[#This Row],[ANFANGSSALDO]]*(ZinsSatz/ZahlungenProJahr),""),IF(ZahlungsZeitplan[[#This Row],['#]]&lt;&gt;"",ZahlungsZeitplan[[#This Row],[ANFANGSSALDO]]*((ZinsSatz+$D$9)/ZahlungenProJahr),""))</f>
        <v/>
      </c>
      <c r="J271" s="195" t="str">
        <f ca="1">IF(ZahlungsZeitplan[[#This Row],['#]]&lt;&gt;"",IF(ZahlungsZeitplan[[#This Row],[Zahlungen (Plan)]]+ZahlungsZeitplan[[#This Row],[SONDERZAHLUNG]]&lt;=ZahlungsZeitplan[[#This Row],[ANFANGSSALDO]],ZahlungsZeitplan[[#This Row],[ANFANGSSALDO]]-ZahlungsZeitplan[[#This Row],[KAPITAL]],0),"")</f>
        <v/>
      </c>
      <c r="K271" s="195" t="str">
        <f ca="1">IF(ZahlungsZeitplan[[#This Row],['#]]&lt;&gt;"",SUM(INDEX(ZahlungsZeitplan[ZINSEN],1,1):ZahlungsZeitplan[[#This Row],[ZINSEN]]),"")</f>
        <v/>
      </c>
    </row>
    <row r="272" spans="2:11">
      <c r="B272" s="193" t="str">
        <f ca="1">IF(DarlehenIstGut,IF(ROW()-ROW(ZahlungsZeitplan[[#Headers],['#]])&gt;PlanmäßigeAnzahlZahlungen,"",ROW()-ROW(ZahlungsZeitplan[[#Headers],['#]])),"")</f>
        <v/>
      </c>
      <c r="C272" s="194" t="str">
        <f ca="1">IF(ZahlungsZeitplan[[#This Row],['#]]&lt;&gt;"",EOMONTH(DarlehensAnfangsDatum,ROW(ZahlungsZeitplan[[#This Row],['#]])-ROW(ZahlungsZeitplan[[#Headers],['#]])-2)+DAY(DarlehensAnfangsDatum),"")</f>
        <v/>
      </c>
      <c r="D272" s="195" t="str">
        <f ca="1">IF(ZahlungsZeitplan[[#This Row],['#]]&lt;&gt;"",IF(ROW()-ROW(ZahlungsZeitplan[[#Headers],[ANFANGSSALDO]])=1,DarlehensBetrag,INDEX(ZahlungsZeitplan[ENDSALDO],ROW()-ROW(ZahlungsZeitplan[[#Headers],[ANFANGSSALDO]])-1)),"")</f>
        <v/>
      </c>
      <c r="E272" s="195" t="str">
        <f ca="1">IF(ZahlungsZeitplan[[#This Row],['#]]&lt;&gt;"",PlanmäßigeZahlung,"")</f>
        <v/>
      </c>
      <c r="F27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2" s="195" t="str">
        <f ca="1">IF(ZahlungsZeitplan[[#This Row],['#]]&lt;&gt;"",ZahlungsZeitplan[[#This Row],[GESAMTZAHLUNG]]-ZahlungsZeitplan[[#This Row],[ZINSEN]],"")</f>
        <v/>
      </c>
      <c r="I272" s="195" t="str">
        <f ca="1">IF(ZahlungsZeitplan[[#This Row],['#]]&lt;=($D$8*12),IF(ZahlungsZeitplan[[#This Row],['#]]&lt;&gt;"",ZahlungsZeitplan[[#This Row],[ANFANGSSALDO]]*(ZinsSatz/ZahlungenProJahr),""),IF(ZahlungsZeitplan[[#This Row],['#]]&lt;&gt;"",ZahlungsZeitplan[[#This Row],[ANFANGSSALDO]]*((ZinsSatz+$D$9)/ZahlungenProJahr),""))</f>
        <v/>
      </c>
      <c r="J272" s="195" t="str">
        <f ca="1">IF(ZahlungsZeitplan[[#This Row],['#]]&lt;&gt;"",IF(ZahlungsZeitplan[[#This Row],[Zahlungen (Plan)]]+ZahlungsZeitplan[[#This Row],[SONDERZAHLUNG]]&lt;=ZahlungsZeitplan[[#This Row],[ANFANGSSALDO]],ZahlungsZeitplan[[#This Row],[ANFANGSSALDO]]-ZahlungsZeitplan[[#This Row],[KAPITAL]],0),"")</f>
        <v/>
      </c>
      <c r="K272" s="195" t="str">
        <f ca="1">IF(ZahlungsZeitplan[[#This Row],['#]]&lt;&gt;"",SUM(INDEX(ZahlungsZeitplan[ZINSEN],1,1):ZahlungsZeitplan[[#This Row],[ZINSEN]]),"")</f>
        <v/>
      </c>
    </row>
    <row r="273" spans="2:11">
      <c r="B273" s="193" t="str">
        <f ca="1">IF(DarlehenIstGut,IF(ROW()-ROW(ZahlungsZeitplan[[#Headers],['#]])&gt;PlanmäßigeAnzahlZahlungen,"",ROW()-ROW(ZahlungsZeitplan[[#Headers],['#]])),"")</f>
        <v/>
      </c>
      <c r="C273" s="194" t="str">
        <f ca="1">IF(ZahlungsZeitplan[[#This Row],['#]]&lt;&gt;"",EOMONTH(DarlehensAnfangsDatum,ROW(ZahlungsZeitplan[[#This Row],['#]])-ROW(ZahlungsZeitplan[[#Headers],['#]])-2)+DAY(DarlehensAnfangsDatum),"")</f>
        <v/>
      </c>
      <c r="D273" s="195" t="str">
        <f ca="1">IF(ZahlungsZeitplan[[#This Row],['#]]&lt;&gt;"",IF(ROW()-ROW(ZahlungsZeitplan[[#Headers],[ANFANGSSALDO]])=1,DarlehensBetrag,INDEX(ZahlungsZeitplan[ENDSALDO],ROW()-ROW(ZahlungsZeitplan[[#Headers],[ANFANGSSALDO]])-1)),"")</f>
        <v/>
      </c>
      <c r="E273" s="195" t="str">
        <f ca="1">IF(ZahlungsZeitplan[[#This Row],['#]]&lt;&gt;"",PlanmäßigeZahlung,"")</f>
        <v/>
      </c>
      <c r="F27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3" s="195" t="str">
        <f ca="1">IF(ZahlungsZeitplan[[#This Row],['#]]&lt;&gt;"",ZahlungsZeitplan[[#This Row],[GESAMTZAHLUNG]]-ZahlungsZeitplan[[#This Row],[ZINSEN]],"")</f>
        <v/>
      </c>
      <c r="I273" s="195" t="str">
        <f ca="1">IF(ZahlungsZeitplan[[#This Row],['#]]&lt;=($D$8*12),IF(ZahlungsZeitplan[[#This Row],['#]]&lt;&gt;"",ZahlungsZeitplan[[#This Row],[ANFANGSSALDO]]*(ZinsSatz/ZahlungenProJahr),""),IF(ZahlungsZeitplan[[#This Row],['#]]&lt;&gt;"",ZahlungsZeitplan[[#This Row],[ANFANGSSALDO]]*((ZinsSatz+$D$9)/ZahlungenProJahr),""))</f>
        <v/>
      </c>
      <c r="J273" s="195" t="str">
        <f ca="1">IF(ZahlungsZeitplan[[#This Row],['#]]&lt;&gt;"",IF(ZahlungsZeitplan[[#This Row],[Zahlungen (Plan)]]+ZahlungsZeitplan[[#This Row],[SONDERZAHLUNG]]&lt;=ZahlungsZeitplan[[#This Row],[ANFANGSSALDO]],ZahlungsZeitplan[[#This Row],[ANFANGSSALDO]]-ZahlungsZeitplan[[#This Row],[KAPITAL]],0),"")</f>
        <v/>
      </c>
      <c r="K273" s="195" t="str">
        <f ca="1">IF(ZahlungsZeitplan[[#This Row],['#]]&lt;&gt;"",SUM(INDEX(ZahlungsZeitplan[ZINSEN],1,1):ZahlungsZeitplan[[#This Row],[ZINSEN]]),"")</f>
        <v/>
      </c>
    </row>
    <row r="274" spans="2:11">
      <c r="B274" s="193" t="str">
        <f ca="1">IF(DarlehenIstGut,IF(ROW()-ROW(ZahlungsZeitplan[[#Headers],['#]])&gt;PlanmäßigeAnzahlZahlungen,"",ROW()-ROW(ZahlungsZeitplan[[#Headers],['#]])),"")</f>
        <v/>
      </c>
      <c r="C274" s="194" t="str">
        <f ca="1">IF(ZahlungsZeitplan[[#This Row],['#]]&lt;&gt;"",EOMONTH(DarlehensAnfangsDatum,ROW(ZahlungsZeitplan[[#This Row],['#]])-ROW(ZahlungsZeitplan[[#Headers],['#]])-2)+DAY(DarlehensAnfangsDatum),"")</f>
        <v/>
      </c>
      <c r="D274" s="195" t="str">
        <f ca="1">IF(ZahlungsZeitplan[[#This Row],['#]]&lt;&gt;"",IF(ROW()-ROW(ZahlungsZeitplan[[#Headers],[ANFANGSSALDO]])=1,DarlehensBetrag,INDEX(ZahlungsZeitplan[ENDSALDO],ROW()-ROW(ZahlungsZeitplan[[#Headers],[ANFANGSSALDO]])-1)),"")</f>
        <v/>
      </c>
      <c r="E274" s="195" t="str">
        <f ca="1">IF(ZahlungsZeitplan[[#This Row],['#]]&lt;&gt;"",PlanmäßigeZahlung,"")</f>
        <v/>
      </c>
      <c r="F27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4" s="195" t="str">
        <f ca="1">IF(ZahlungsZeitplan[[#This Row],['#]]&lt;&gt;"",ZahlungsZeitplan[[#This Row],[GESAMTZAHLUNG]]-ZahlungsZeitplan[[#This Row],[ZINSEN]],"")</f>
        <v/>
      </c>
      <c r="I274" s="195" t="str">
        <f ca="1">IF(ZahlungsZeitplan[[#This Row],['#]]&lt;=($D$8*12),IF(ZahlungsZeitplan[[#This Row],['#]]&lt;&gt;"",ZahlungsZeitplan[[#This Row],[ANFANGSSALDO]]*(ZinsSatz/ZahlungenProJahr),""),IF(ZahlungsZeitplan[[#This Row],['#]]&lt;&gt;"",ZahlungsZeitplan[[#This Row],[ANFANGSSALDO]]*((ZinsSatz+$D$9)/ZahlungenProJahr),""))</f>
        <v/>
      </c>
      <c r="J274" s="195" t="str">
        <f ca="1">IF(ZahlungsZeitplan[[#This Row],['#]]&lt;&gt;"",IF(ZahlungsZeitplan[[#This Row],[Zahlungen (Plan)]]+ZahlungsZeitplan[[#This Row],[SONDERZAHLUNG]]&lt;=ZahlungsZeitplan[[#This Row],[ANFANGSSALDO]],ZahlungsZeitplan[[#This Row],[ANFANGSSALDO]]-ZahlungsZeitplan[[#This Row],[KAPITAL]],0),"")</f>
        <v/>
      </c>
      <c r="K274" s="195" t="str">
        <f ca="1">IF(ZahlungsZeitplan[[#This Row],['#]]&lt;&gt;"",SUM(INDEX(ZahlungsZeitplan[ZINSEN],1,1):ZahlungsZeitplan[[#This Row],[ZINSEN]]),"")</f>
        <v/>
      </c>
    </row>
    <row r="275" spans="2:11">
      <c r="B275" s="193" t="str">
        <f ca="1">IF(DarlehenIstGut,IF(ROW()-ROW(ZahlungsZeitplan[[#Headers],['#]])&gt;PlanmäßigeAnzahlZahlungen,"",ROW()-ROW(ZahlungsZeitplan[[#Headers],['#]])),"")</f>
        <v/>
      </c>
      <c r="C275" s="194" t="str">
        <f ca="1">IF(ZahlungsZeitplan[[#This Row],['#]]&lt;&gt;"",EOMONTH(DarlehensAnfangsDatum,ROW(ZahlungsZeitplan[[#This Row],['#]])-ROW(ZahlungsZeitplan[[#Headers],['#]])-2)+DAY(DarlehensAnfangsDatum),"")</f>
        <v/>
      </c>
      <c r="D275" s="195" t="str">
        <f ca="1">IF(ZahlungsZeitplan[[#This Row],['#]]&lt;&gt;"",IF(ROW()-ROW(ZahlungsZeitplan[[#Headers],[ANFANGSSALDO]])=1,DarlehensBetrag,INDEX(ZahlungsZeitplan[ENDSALDO],ROW()-ROW(ZahlungsZeitplan[[#Headers],[ANFANGSSALDO]])-1)),"")</f>
        <v/>
      </c>
      <c r="E275" s="195" t="str">
        <f ca="1">IF(ZahlungsZeitplan[[#This Row],['#]]&lt;&gt;"",PlanmäßigeZahlung,"")</f>
        <v/>
      </c>
      <c r="F27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5" s="195" t="str">
        <f ca="1">IF(ZahlungsZeitplan[[#This Row],['#]]&lt;&gt;"",ZahlungsZeitplan[[#This Row],[GESAMTZAHLUNG]]-ZahlungsZeitplan[[#This Row],[ZINSEN]],"")</f>
        <v/>
      </c>
      <c r="I275" s="195" t="str">
        <f ca="1">IF(ZahlungsZeitplan[[#This Row],['#]]&lt;=($D$8*12),IF(ZahlungsZeitplan[[#This Row],['#]]&lt;&gt;"",ZahlungsZeitplan[[#This Row],[ANFANGSSALDO]]*(ZinsSatz/ZahlungenProJahr),""),IF(ZahlungsZeitplan[[#This Row],['#]]&lt;&gt;"",ZahlungsZeitplan[[#This Row],[ANFANGSSALDO]]*((ZinsSatz+$D$9)/ZahlungenProJahr),""))</f>
        <v/>
      </c>
      <c r="J275" s="195" t="str">
        <f ca="1">IF(ZahlungsZeitplan[[#This Row],['#]]&lt;&gt;"",IF(ZahlungsZeitplan[[#This Row],[Zahlungen (Plan)]]+ZahlungsZeitplan[[#This Row],[SONDERZAHLUNG]]&lt;=ZahlungsZeitplan[[#This Row],[ANFANGSSALDO]],ZahlungsZeitplan[[#This Row],[ANFANGSSALDO]]-ZahlungsZeitplan[[#This Row],[KAPITAL]],0),"")</f>
        <v/>
      </c>
      <c r="K275" s="195" t="str">
        <f ca="1">IF(ZahlungsZeitplan[[#This Row],['#]]&lt;&gt;"",SUM(INDEX(ZahlungsZeitplan[ZINSEN],1,1):ZahlungsZeitplan[[#This Row],[ZINSEN]]),"")</f>
        <v/>
      </c>
    </row>
    <row r="276" spans="2:11">
      <c r="B276" s="193" t="str">
        <f ca="1">IF(DarlehenIstGut,IF(ROW()-ROW(ZahlungsZeitplan[[#Headers],['#]])&gt;PlanmäßigeAnzahlZahlungen,"",ROW()-ROW(ZahlungsZeitplan[[#Headers],['#]])),"")</f>
        <v/>
      </c>
      <c r="C276" s="194" t="str">
        <f ca="1">IF(ZahlungsZeitplan[[#This Row],['#]]&lt;&gt;"",EOMONTH(DarlehensAnfangsDatum,ROW(ZahlungsZeitplan[[#This Row],['#]])-ROW(ZahlungsZeitplan[[#Headers],['#]])-2)+DAY(DarlehensAnfangsDatum),"")</f>
        <v/>
      </c>
      <c r="D276" s="195" t="str">
        <f ca="1">IF(ZahlungsZeitplan[[#This Row],['#]]&lt;&gt;"",IF(ROW()-ROW(ZahlungsZeitplan[[#Headers],[ANFANGSSALDO]])=1,DarlehensBetrag,INDEX(ZahlungsZeitplan[ENDSALDO],ROW()-ROW(ZahlungsZeitplan[[#Headers],[ANFANGSSALDO]])-1)),"")</f>
        <v/>
      </c>
      <c r="E276" s="195" t="str">
        <f ca="1">IF(ZahlungsZeitplan[[#This Row],['#]]&lt;&gt;"",PlanmäßigeZahlung,"")</f>
        <v/>
      </c>
      <c r="F27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6" s="195" t="str">
        <f ca="1">IF(ZahlungsZeitplan[[#This Row],['#]]&lt;&gt;"",ZahlungsZeitplan[[#This Row],[GESAMTZAHLUNG]]-ZahlungsZeitplan[[#This Row],[ZINSEN]],"")</f>
        <v/>
      </c>
      <c r="I276" s="195" t="str">
        <f ca="1">IF(ZahlungsZeitplan[[#This Row],['#]]&lt;=($D$8*12),IF(ZahlungsZeitplan[[#This Row],['#]]&lt;&gt;"",ZahlungsZeitplan[[#This Row],[ANFANGSSALDO]]*(ZinsSatz/ZahlungenProJahr),""),IF(ZahlungsZeitplan[[#This Row],['#]]&lt;&gt;"",ZahlungsZeitplan[[#This Row],[ANFANGSSALDO]]*((ZinsSatz+$D$9)/ZahlungenProJahr),""))</f>
        <v/>
      </c>
      <c r="J276" s="195" t="str">
        <f ca="1">IF(ZahlungsZeitplan[[#This Row],['#]]&lt;&gt;"",IF(ZahlungsZeitplan[[#This Row],[Zahlungen (Plan)]]+ZahlungsZeitplan[[#This Row],[SONDERZAHLUNG]]&lt;=ZahlungsZeitplan[[#This Row],[ANFANGSSALDO]],ZahlungsZeitplan[[#This Row],[ANFANGSSALDO]]-ZahlungsZeitplan[[#This Row],[KAPITAL]],0),"")</f>
        <v/>
      </c>
      <c r="K276" s="195" t="str">
        <f ca="1">IF(ZahlungsZeitplan[[#This Row],['#]]&lt;&gt;"",SUM(INDEX(ZahlungsZeitplan[ZINSEN],1,1):ZahlungsZeitplan[[#This Row],[ZINSEN]]),"")</f>
        <v/>
      </c>
    </row>
    <row r="277" spans="2:11">
      <c r="B277" s="193" t="str">
        <f ca="1">IF(DarlehenIstGut,IF(ROW()-ROW(ZahlungsZeitplan[[#Headers],['#]])&gt;PlanmäßigeAnzahlZahlungen,"",ROW()-ROW(ZahlungsZeitplan[[#Headers],['#]])),"")</f>
        <v/>
      </c>
      <c r="C277" s="194" t="str">
        <f ca="1">IF(ZahlungsZeitplan[[#This Row],['#]]&lt;&gt;"",EOMONTH(DarlehensAnfangsDatum,ROW(ZahlungsZeitplan[[#This Row],['#]])-ROW(ZahlungsZeitplan[[#Headers],['#]])-2)+DAY(DarlehensAnfangsDatum),"")</f>
        <v/>
      </c>
      <c r="D277" s="195" t="str">
        <f ca="1">IF(ZahlungsZeitplan[[#This Row],['#]]&lt;&gt;"",IF(ROW()-ROW(ZahlungsZeitplan[[#Headers],[ANFANGSSALDO]])=1,DarlehensBetrag,INDEX(ZahlungsZeitplan[ENDSALDO],ROW()-ROW(ZahlungsZeitplan[[#Headers],[ANFANGSSALDO]])-1)),"")</f>
        <v/>
      </c>
      <c r="E277" s="195" t="str">
        <f ca="1">IF(ZahlungsZeitplan[[#This Row],['#]]&lt;&gt;"",PlanmäßigeZahlung,"")</f>
        <v/>
      </c>
      <c r="F27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7" s="195" t="str">
        <f ca="1">IF(ZahlungsZeitplan[[#This Row],['#]]&lt;&gt;"",ZahlungsZeitplan[[#This Row],[GESAMTZAHLUNG]]-ZahlungsZeitplan[[#This Row],[ZINSEN]],"")</f>
        <v/>
      </c>
      <c r="I277" s="195" t="str">
        <f ca="1">IF(ZahlungsZeitplan[[#This Row],['#]]&lt;=($D$8*12),IF(ZahlungsZeitplan[[#This Row],['#]]&lt;&gt;"",ZahlungsZeitplan[[#This Row],[ANFANGSSALDO]]*(ZinsSatz/ZahlungenProJahr),""),IF(ZahlungsZeitplan[[#This Row],['#]]&lt;&gt;"",ZahlungsZeitplan[[#This Row],[ANFANGSSALDO]]*((ZinsSatz+$D$9)/ZahlungenProJahr),""))</f>
        <v/>
      </c>
      <c r="J277" s="195" t="str">
        <f ca="1">IF(ZahlungsZeitplan[[#This Row],['#]]&lt;&gt;"",IF(ZahlungsZeitplan[[#This Row],[Zahlungen (Plan)]]+ZahlungsZeitplan[[#This Row],[SONDERZAHLUNG]]&lt;=ZahlungsZeitplan[[#This Row],[ANFANGSSALDO]],ZahlungsZeitplan[[#This Row],[ANFANGSSALDO]]-ZahlungsZeitplan[[#This Row],[KAPITAL]],0),"")</f>
        <v/>
      </c>
      <c r="K277" s="195" t="str">
        <f ca="1">IF(ZahlungsZeitplan[[#This Row],['#]]&lt;&gt;"",SUM(INDEX(ZahlungsZeitplan[ZINSEN],1,1):ZahlungsZeitplan[[#This Row],[ZINSEN]]),"")</f>
        <v/>
      </c>
    </row>
    <row r="278" spans="2:11">
      <c r="B278" s="193" t="str">
        <f ca="1">IF(DarlehenIstGut,IF(ROW()-ROW(ZahlungsZeitplan[[#Headers],['#]])&gt;PlanmäßigeAnzahlZahlungen,"",ROW()-ROW(ZahlungsZeitplan[[#Headers],['#]])),"")</f>
        <v/>
      </c>
      <c r="C278" s="194" t="str">
        <f ca="1">IF(ZahlungsZeitplan[[#This Row],['#]]&lt;&gt;"",EOMONTH(DarlehensAnfangsDatum,ROW(ZahlungsZeitplan[[#This Row],['#]])-ROW(ZahlungsZeitplan[[#Headers],['#]])-2)+DAY(DarlehensAnfangsDatum),"")</f>
        <v/>
      </c>
      <c r="D278" s="195" t="str">
        <f ca="1">IF(ZahlungsZeitplan[[#This Row],['#]]&lt;&gt;"",IF(ROW()-ROW(ZahlungsZeitplan[[#Headers],[ANFANGSSALDO]])=1,DarlehensBetrag,INDEX(ZahlungsZeitplan[ENDSALDO],ROW()-ROW(ZahlungsZeitplan[[#Headers],[ANFANGSSALDO]])-1)),"")</f>
        <v/>
      </c>
      <c r="E278" s="195" t="str">
        <f ca="1">IF(ZahlungsZeitplan[[#This Row],['#]]&lt;&gt;"",PlanmäßigeZahlung,"")</f>
        <v/>
      </c>
      <c r="F27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8" s="195" t="str">
        <f ca="1">IF(ZahlungsZeitplan[[#This Row],['#]]&lt;&gt;"",ZahlungsZeitplan[[#This Row],[GESAMTZAHLUNG]]-ZahlungsZeitplan[[#This Row],[ZINSEN]],"")</f>
        <v/>
      </c>
      <c r="I278" s="195" t="str">
        <f ca="1">IF(ZahlungsZeitplan[[#This Row],['#]]&lt;=($D$8*12),IF(ZahlungsZeitplan[[#This Row],['#]]&lt;&gt;"",ZahlungsZeitplan[[#This Row],[ANFANGSSALDO]]*(ZinsSatz/ZahlungenProJahr),""),IF(ZahlungsZeitplan[[#This Row],['#]]&lt;&gt;"",ZahlungsZeitplan[[#This Row],[ANFANGSSALDO]]*((ZinsSatz+$D$9)/ZahlungenProJahr),""))</f>
        <v/>
      </c>
      <c r="J278" s="195" t="str">
        <f ca="1">IF(ZahlungsZeitplan[[#This Row],['#]]&lt;&gt;"",IF(ZahlungsZeitplan[[#This Row],[Zahlungen (Plan)]]+ZahlungsZeitplan[[#This Row],[SONDERZAHLUNG]]&lt;=ZahlungsZeitplan[[#This Row],[ANFANGSSALDO]],ZahlungsZeitplan[[#This Row],[ANFANGSSALDO]]-ZahlungsZeitplan[[#This Row],[KAPITAL]],0),"")</f>
        <v/>
      </c>
      <c r="K278" s="195" t="str">
        <f ca="1">IF(ZahlungsZeitplan[[#This Row],['#]]&lt;&gt;"",SUM(INDEX(ZahlungsZeitplan[ZINSEN],1,1):ZahlungsZeitplan[[#This Row],[ZINSEN]]),"")</f>
        <v/>
      </c>
    </row>
    <row r="279" spans="2:11">
      <c r="B279" s="193" t="str">
        <f ca="1">IF(DarlehenIstGut,IF(ROW()-ROW(ZahlungsZeitplan[[#Headers],['#]])&gt;PlanmäßigeAnzahlZahlungen,"",ROW()-ROW(ZahlungsZeitplan[[#Headers],['#]])),"")</f>
        <v/>
      </c>
      <c r="C279" s="194" t="str">
        <f ca="1">IF(ZahlungsZeitplan[[#This Row],['#]]&lt;&gt;"",EOMONTH(DarlehensAnfangsDatum,ROW(ZahlungsZeitplan[[#This Row],['#]])-ROW(ZahlungsZeitplan[[#Headers],['#]])-2)+DAY(DarlehensAnfangsDatum),"")</f>
        <v/>
      </c>
      <c r="D279" s="195" t="str">
        <f ca="1">IF(ZahlungsZeitplan[[#This Row],['#]]&lt;&gt;"",IF(ROW()-ROW(ZahlungsZeitplan[[#Headers],[ANFANGSSALDO]])=1,DarlehensBetrag,INDEX(ZahlungsZeitplan[ENDSALDO],ROW()-ROW(ZahlungsZeitplan[[#Headers],[ANFANGSSALDO]])-1)),"")</f>
        <v/>
      </c>
      <c r="E279" s="195" t="str">
        <f ca="1">IF(ZahlungsZeitplan[[#This Row],['#]]&lt;&gt;"",PlanmäßigeZahlung,"")</f>
        <v/>
      </c>
      <c r="F27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7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79" s="195" t="str">
        <f ca="1">IF(ZahlungsZeitplan[[#This Row],['#]]&lt;&gt;"",ZahlungsZeitplan[[#This Row],[GESAMTZAHLUNG]]-ZahlungsZeitplan[[#This Row],[ZINSEN]],"")</f>
        <v/>
      </c>
      <c r="I279" s="195" t="str">
        <f ca="1">IF(ZahlungsZeitplan[[#This Row],['#]]&lt;=($D$8*12),IF(ZahlungsZeitplan[[#This Row],['#]]&lt;&gt;"",ZahlungsZeitplan[[#This Row],[ANFANGSSALDO]]*(ZinsSatz/ZahlungenProJahr),""),IF(ZahlungsZeitplan[[#This Row],['#]]&lt;&gt;"",ZahlungsZeitplan[[#This Row],[ANFANGSSALDO]]*((ZinsSatz+$D$9)/ZahlungenProJahr),""))</f>
        <v/>
      </c>
      <c r="J279" s="195" t="str">
        <f ca="1">IF(ZahlungsZeitplan[[#This Row],['#]]&lt;&gt;"",IF(ZahlungsZeitplan[[#This Row],[Zahlungen (Plan)]]+ZahlungsZeitplan[[#This Row],[SONDERZAHLUNG]]&lt;=ZahlungsZeitplan[[#This Row],[ANFANGSSALDO]],ZahlungsZeitplan[[#This Row],[ANFANGSSALDO]]-ZahlungsZeitplan[[#This Row],[KAPITAL]],0),"")</f>
        <v/>
      </c>
      <c r="K279" s="195" t="str">
        <f ca="1">IF(ZahlungsZeitplan[[#This Row],['#]]&lt;&gt;"",SUM(INDEX(ZahlungsZeitplan[ZINSEN],1,1):ZahlungsZeitplan[[#This Row],[ZINSEN]]),"")</f>
        <v/>
      </c>
    </row>
    <row r="280" spans="2:11">
      <c r="B280" s="193" t="str">
        <f ca="1">IF(DarlehenIstGut,IF(ROW()-ROW(ZahlungsZeitplan[[#Headers],['#]])&gt;PlanmäßigeAnzahlZahlungen,"",ROW()-ROW(ZahlungsZeitplan[[#Headers],['#]])),"")</f>
        <v/>
      </c>
      <c r="C280" s="194" t="str">
        <f ca="1">IF(ZahlungsZeitplan[[#This Row],['#]]&lt;&gt;"",EOMONTH(DarlehensAnfangsDatum,ROW(ZahlungsZeitplan[[#This Row],['#]])-ROW(ZahlungsZeitplan[[#Headers],['#]])-2)+DAY(DarlehensAnfangsDatum),"")</f>
        <v/>
      </c>
      <c r="D280" s="195" t="str">
        <f ca="1">IF(ZahlungsZeitplan[[#This Row],['#]]&lt;&gt;"",IF(ROW()-ROW(ZahlungsZeitplan[[#Headers],[ANFANGSSALDO]])=1,DarlehensBetrag,INDEX(ZahlungsZeitplan[ENDSALDO],ROW()-ROW(ZahlungsZeitplan[[#Headers],[ANFANGSSALDO]])-1)),"")</f>
        <v/>
      </c>
      <c r="E280" s="195" t="str">
        <f ca="1">IF(ZahlungsZeitplan[[#This Row],['#]]&lt;&gt;"",PlanmäßigeZahlung,"")</f>
        <v/>
      </c>
      <c r="F28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0" s="195" t="str">
        <f ca="1">IF(ZahlungsZeitplan[[#This Row],['#]]&lt;&gt;"",ZahlungsZeitplan[[#This Row],[GESAMTZAHLUNG]]-ZahlungsZeitplan[[#This Row],[ZINSEN]],"")</f>
        <v/>
      </c>
      <c r="I280" s="195" t="str">
        <f ca="1">IF(ZahlungsZeitplan[[#This Row],['#]]&lt;=($D$8*12),IF(ZahlungsZeitplan[[#This Row],['#]]&lt;&gt;"",ZahlungsZeitplan[[#This Row],[ANFANGSSALDO]]*(ZinsSatz/ZahlungenProJahr),""),IF(ZahlungsZeitplan[[#This Row],['#]]&lt;&gt;"",ZahlungsZeitplan[[#This Row],[ANFANGSSALDO]]*((ZinsSatz+$D$9)/ZahlungenProJahr),""))</f>
        <v/>
      </c>
      <c r="J280" s="195" t="str">
        <f ca="1">IF(ZahlungsZeitplan[[#This Row],['#]]&lt;&gt;"",IF(ZahlungsZeitplan[[#This Row],[Zahlungen (Plan)]]+ZahlungsZeitplan[[#This Row],[SONDERZAHLUNG]]&lt;=ZahlungsZeitplan[[#This Row],[ANFANGSSALDO]],ZahlungsZeitplan[[#This Row],[ANFANGSSALDO]]-ZahlungsZeitplan[[#This Row],[KAPITAL]],0),"")</f>
        <v/>
      </c>
      <c r="K280" s="195" t="str">
        <f ca="1">IF(ZahlungsZeitplan[[#This Row],['#]]&lt;&gt;"",SUM(INDEX(ZahlungsZeitplan[ZINSEN],1,1):ZahlungsZeitplan[[#This Row],[ZINSEN]]),"")</f>
        <v/>
      </c>
    </row>
    <row r="281" spans="2:11">
      <c r="B281" s="193" t="str">
        <f ca="1">IF(DarlehenIstGut,IF(ROW()-ROW(ZahlungsZeitplan[[#Headers],['#]])&gt;PlanmäßigeAnzahlZahlungen,"",ROW()-ROW(ZahlungsZeitplan[[#Headers],['#]])),"")</f>
        <v/>
      </c>
      <c r="C281" s="194" t="str">
        <f ca="1">IF(ZahlungsZeitplan[[#This Row],['#]]&lt;&gt;"",EOMONTH(DarlehensAnfangsDatum,ROW(ZahlungsZeitplan[[#This Row],['#]])-ROW(ZahlungsZeitplan[[#Headers],['#]])-2)+DAY(DarlehensAnfangsDatum),"")</f>
        <v/>
      </c>
      <c r="D281" s="195" t="str">
        <f ca="1">IF(ZahlungsZeitplan[[#This Row],['#]]&lt;&gt;"",IF(ROW()-ROW(ZahlungsZeitplan[[#Headers],[ANFANGSSALDO]])=1,DarlehensBetrag,INDEX(ZahlungsZeitplan[ENDSALDO],ROW()-ROW(ZahlungsZeitplan[[#Headers],[ANFANGSSALDO]])-1)),"")</f>
        <v/>
      </c>
      <c r="E281" s="195" t="str">
        <f ca="1">IF(ZahlungsZeitplan[[#This Row],['#]]&lt;&gt;"",PlanmäßigeZahlung,"")</f>
        <v/>
      </c>
      <c r="F28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1" s="195" t="str">
        <f ca="1">IF(ZahlungsZeitplan[[#This Row],['#]]&lt;&gt;"",ZahlungsZeitplan[[#This Row],[GESAMTZAHLUNG]]-ZahlungsZeitplan[[#This Row],[ZINSEN]],"")</f>
        <v/>
      </c>
      <c r="I281" s="195" t="str">
        <f ca="1">IF(ZahlungsZeitplan[[#This Row],['#]]&lt;=($D$8*12),IF(ZahlungsZeitplan[[#This Row],['#]]&lt;&gt;"",ZahlungsZeitplan[[#This Row],[ANFANGSSALDO]]*(ZinsSatz/ZahlungenProJahr),""),IF(ZahlungsZeitplan[[#This Row],['#]]&lt;&gt;"",ZahlungsZeitplan[[#This Row],[ANFANGSSALDO]]*((ZinsSatz+$D$9)/ZahlungenProJahr),""))</f>
        <v/>
      </c>
      <c r="J281" s="195" t="str">
        <f ca="1">IF(ZahlungsZeitplan[[#This Row],['#]]&lt;&gt;"",IF(ZahlungsZeitplan[[#This Row],[Zahlungen (Plan)]]+ZahlungsZeitplan[[#This Row],[SONDERZAHLUNG]]&lt;=ZahlungsZeitplan[[#This Row],[ANFANGSSALDO]],ZahlungsZeitplan[[#This Row],[ANFANGSSALDO]]-ZahlungsZeitplan[[#This Row],[KAPITAL]],0),"")</f>
        <v/>
      </c>
      <c r="K281" s="195" t="str">
        <f ca="1">IF(ZahlungsZeitplan[[#This Row],['#]]&lt;&gt;"",SUM(INDEX(ZahlungsZeitplan[ZINSEN],1,1):ZahlungsZeitplan[[#This Row],[ZINSEN]]),"")</f>
        <v/>
      </c>
    </row>
    <row r="282" spans="2:11">
      <c r="B282" s="193" t="str">
        <f ca="1">IF(DarlehenIstGut,IF(ROW()-ROW(ZahlungsZeitplan[[#Headers],['#]])&gt;PlanmäßigeAnzahlZahlungen,"",ROW()-ROW(ZahlungsZeitplan[[#Headers],['#]])),"")</f>
        <v/>
      </c>
      <c r="C282" s="194" t="str">
        <f ca="1">IF(ZahlungsZeitplan[[#This Row],['#]]&lt;&gt;"",EOMONTH(DarlehensAnfangsDatum,ROW(ZahlungsZeitplan[[#This Row],['#]])-ROW(ZahlungsZeitplan[[#Headers],['#]])-2)+DAY(DarlehensAnfangsDatum),"")</f>
        <v/>
      </c>
      <c r="D282" s="195" t="str">
        <f ca="1">IF(ZahlungsZeitplan[[#This Row],['#]]&lt;&gt;"",IF(ROW()-ROW(ZahlungsZeitplan[[#Headers],[ANFANGSSALDO]])=1,DarlehensBetrag,INDEX(ZahlungsZeitplan[ENDSALDO],ROW()-ROW(ZahlungsZeitplan[[#Headers],[ANFANGSSALDO]])-1)),"")</f>
        <v/>
      </c>
      <c r="E282" s="195" t="str">
        <f ca="1">IF(ZahlungsZeitplan[[#This Row],['#]]&lt;&gt;"",PlanmäßigeZahlung,"")</f>
        <v/>
      </c>
      <c r="F28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2" s="195" t="str">
        <f ca="1">IF(ZahlungsZeitplan[[#This Row],['#]]&lt;&gt;"",ZahlungsZeitplan[[#This Row],[GESAMTZAHLUNG]]-ZahlungsZeitplan[[#This Row],[ZINSEN]],"")</f>
        <v/>
      </c>
      <c r="I282" s="195" t="str">
        <f ca="1">IF(ZahlungsZeitplan[[#This Row],['#]]&lt;=($D$8*12),IF(ZahlungsZeitplan[[#This Row],['#]]&lt;&gt;"",ZahlungsZeitplan[[#This Row],[ANFANGSSALDO]]*(ZinsSatz/ZahlungenProJahr),""),IF(ZahlungsZeitplan[[#This Row],['#]]&lt;&gt;"",ZahlungsZeitplan[[#This Row],[ANFANGSSALDO]]*((ZinsSatz+$D$9)/ZahlungenProJahr),""))</f>
        <v/>
      </c>
      <c r="J282" s="195" t="str">
        <f ca="1">IF(ZahlungsZeitplan[[#This Row],['#]]&lt;&gt;"",IF(ZahlungsZeitplan[[#This Row],[Zahlungen (Plan)]]+ZahlungsZeitplan[[#This Row],[SONDERZAHLUNG]]&lt;=ZahlungsZeitplan[[#This Row],[ANFANGSSALDO]],ZahlungsZeitplan[[#This Row],[ANFANGSSALDO]]-ZahlungsZeitplan[[#This Row],[KAPITAL]],0),"")</f>
        <v/>
      </c>
      <c r="K282" s="195" t="str">
        <f ca="1">IF(ZahlungsZeitplan[[#This Row],['#]]&lt;&gt;"",SUM(INDEX(ZahlungsZeitplan[ZINSEN],1,1):ZahlungsZeitplan[[#This Row],[ZINSEN]]),"")</f>
        <v/>
      </c>
    </row>
    <row r="283" spans="2:11">
      <c r="B283" s="193" t="str">
        <f ca="1">IF(DarlehenIstGut,IF(ROW()-ROW(ZahlungsZeitplan[[#Headers],['#]])&gt;PlanmäßigeAnzahlZahlungen,"",ROW()-ROW(ZahlungsZeitplan[[#Headers],['#]])),"")</f>
        <v/>
      </c>
      <c r="C283" s="194" t="str">
        <f ca="1">IF(ZahlungsZeitplan[[#This Row],['#]]&lt;&gt;"",EOMONTH(DarlehensAnfangsDatum,ROW(ZahlungsZeitplan[[#This Row],['#]])-ROW(ZahlungsZeitplan[[#Headers],['#]])-2)+DAY(DarlehensAnfangsDatum),"")</f>
        <v/>
      </c>
      <c r="D283" s="195" t="str">
        <f ca="1">IF(ZahlungsZeitplan[[#This Row],['#]]&lt;&gt;"",IF(ROW()-ROW(ZahlungsZeitplan[[#Headers],[ANFANGSSALDO]])=1,DarlehensBetrag,INDEX(ZahlungsZeitplan[ENDSALDO],ROW()-ROW(ZahlungsZeitplan[[#Headers],[ANFANGSSALDO]])-1)),"")</f>
        <v/>
      </c>
      <c r="E283" s="195" t="str">
        <f ca="1">IF(ZahlungsZeitplan[[#This Row],['#]]&lt;&gt;"",PlanmäßigeZahlung,"")</f>
        <v/>
      </c>
      <c r="F28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3" s="195" t="str">
        <f ca="1">IF(ZahlungsZeitplan[[#This Row],['#]]&lt;&gt;"",ZahlungsZeitplan[[#This Row],[GESAMTZAHLUNG]]-ZahlungsZeitplan[[#This Row],[ZINSEN]],"")</f>
        <v/>
      </c>
      <c r="I283" s="195" t="str">
        <f ca="1">IF(ZahlungsZeitplan[[#This Row],['#]]&lt;=($D$8*12),IF(ZahlungsZeitplan[[#This Row],['#]]&lt;&gt;"",ZahlungsZeitplan[[#This Row],[ANFANGSSALDO]]*(ZinsSatz/ZahlungenProJahr),""),IF(ZahlungsZeitplan[[#This Row],['#]]&lt;&gt;"",ZahlungsZeitplan[[#This Row],[ANFANGSSALDO]]*((ZinsSatz+$D$9)/ZahlungenProJahr),""))</f>
        <v/>
      </c>
      <c r="J283" s="195" t="str">
        <f ca="1">IF(ZahlungsZeitplan[[#This Row],['#]]&lt;&gt;"",IF(ZahlungsZeitplan[[#This Row],[Zahlungen (Plan)]]+ZahlungsZeitplan[[#This Row],[SONDERZAHLUNG]]&lt;=ZahlungsZeitplan[[#This Row],[ANFANGSSALDO]],ZahlungsZeitplan[[#This Row],[ANFANGSSALDO]]-ZahlungsZeitplan[[#This Row],[KAPITAL]],0),"")</f>
        <v/>
      </c>
      <c r="K283" s="195" t="str">
        <f ca="1">IF(ZahlungsZeitplan[[#This Row],['#]]&lt;&gt;"",SUM(INDEX(ZahlungsZeitplan[ZINSEN],1,1):ZahlungsZeitplan[[#This Row],[ZINSEN]]),"")</f>
        <v/>
      </c>
    </row>
    <row r="284" spans="2:11">
      <c r="B284" s="193" t="str">
        <f ca="1">IF(DarlehenIstGut,IF(ROW()-ROW(ZahlungsZeitplan[[#Headers],['#]])&gt;PlanmäßigeAnzahlZahlungen,"",ROW()-ROW(ZahlungsZeitplan[[#Headers],['#]])),"")</f>
        <v/>
      </c>
      <c r="C284" s="194" t="str">
        <f ca="1">IF(ZahlungsZeitplan[[#This Row],['#]]&lt;&gt;"",EOMONTH(DarlehensAnfangsDatum,ROW(ZahlungsZeitplan[[#This Row],['#]])-ROW(ZahlungsZeitplan[[#Headers],['#]])-2)+DAY(DarlehensAnfangsDatum),"")</f>
        <v/>
      </c>
      <c r="D284" s="195" t="str">
        <f ca="1">IF(ZahlungsZeitplan[[#This Row],['#]]&lt;&gt;"",IF(ROW()-ROW(ZahlungsZeitplan[[#Headers],[ANFANGSSALDO]])=1,DarlehensBetrag,INDEX(ZahlungsZeitplan[ENDSALDO],ROW()-ROW(ZahlungsZeitplan[[#Headers],[ANFANGSSALDO]])-1)),"")</f>
        <v/>
      </c>
      <c r="E284" s="195" t="str">
        <f ca="1">IF(ZahlungsZeitplan[[#This Row],['#]]&lt;&gt;"",PlanmäßigeZahlung,"")</f>
        <v/>
      </c>
      <c r="F28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4" s="195" t="str">
        <f ca="1">IF(ZahlungsZeitplan[[#This Row],['#]]&lt;&gt;"",ZahlungsZeitplan[[#This Row],[GESAMTZAHLUNG]]-ZahlungsZeitplan[[#This Row],[ZINSEN]],"")</f>
        <v/>
      </c>
      <c r="I284" s="195" t="str">
        <f ca="1">IF(ZahlungsZeitplan[[#This Row],['#]]&lt;=($D$8*12),IF(ZahlungsZeitplan[[#This Row],['#]]&lt;&gt;"",ZahlungsZeitplan[[#This Row],[ANFANGSSALDO]]*(ZinsSatz/ZahlungenProJahr),""),IF(ZahlungsZeitplan[[#This Row],['#]]&lt;&gt;"",ZahlungsZeitplan[[#This Row],[ANFANGSSALDO]]*((ZinsSatz+$D$9)/ZahlungenProJahr),""))</f>
        <v/>
      </c>
      <c r="J284" s="195" t="str">
        <f ca="1">IF(ZahlungsZeitplan[[#This Row],['#]]&lt;&gt;"",IF(ZahlungsZeitplan[[#This Row],[Zahlungen (Plan)]]+ZahlungsZeitplan[[#This Row],[SONDERZAHLUNG]]&lt;=ZahlungsZeitplan[[#This Row],[ANFANGSSALDO]],ZahlungsZeitplan[[#This Row],[ANFANGSSALDO]]-ZahlungsZeitplan[[#This Row],[KAPITAL]],0),"")</f>
        <v/>
      </c>
      <c r="K284" s="195" t="str">
        <f ca="1">IF(ZahlungsZeitplan[[#This Row],['#]]&lt;&gt;"",SUM(INDEX(ZahlungsZeitplan[ZINSEN],1,1):ZahlungsZeitplan[[#This Row],[ZINSEN]]),"")</f>
        <v/>
      </c>
    </row>
    <row r="285" spans="2:11">
      <c r="B285" s="193" t="str">
        <f ca="1">IF(DarlehenIstGut,IF(ROW()-ROW(ZahlungsZeitplan[[#Headers],['#]])&gt;PlanmäßigeAnzahlZahlungen,"",ROW()-ROW(ZahlungsZeitplan[[#Headers],['#]])),"")</f>
        <v/>
      </c>
      <c r="C285" s="194" t="str">
        <f ca="1">IF(ZahlungsZeitplan[[#This Row],['#]]&lt;&gt;"",EOMONTH(DarlehensAnfangsDatum,ROW(ZahlungsZeitplan[[#This Row],['#]])-ROW(ZahlungsZeitplan[[#Headers],['#]])-2)+DAY(DarlehensAnfangsDatum),"")</f>
        <v/>
      </c>
      <c r="D285" s="195" t="str">
        <f ca="1">IF(ZahlungsZeitplan[[#This Row],['#]]&lt;&gt;"",IF(ROW()-ROW(ZahlungsZeitplan[[#Headers],[ANFANGSSALDO]])=1,DarlehensBetrag,INDEX(ZahlungsZeitplan[ENDSALDO],ROW()-ROW(ZahlungsZeitplan[[#Headers],[ANFANGSSALDO]])-1)),"")</f>
        <v/>
      </c>
      <c r="E285" s="195" t="str">
        <f ca="1">IF(ZahlungsZeitplan[[#This Row],['#]]&lt;&gt;"",PlanmäßigeZahlung,"")</f>
        <v/>
      </c>
      <c r="F28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5" s="195" t="str">
        <f ca="1">IF(ZahlungsZeitplan[[#This Row],['#]]&lt;&gt;"",ZahlungsZeitplan[[#This Row],[GESAMTZAHLUNG]]-ZahlungsZeitplan[[#This Row],[ZINSEN]],"")</f>
        <v/>
      </c>
      <c r="I285" s="195" t="str">
        <f ca="1">IF(ZahlungsZeitplan[[#This Row],['#]]&lt;=($D$8*12),IF(ZahlungsZeitplan[[#This Row],['#]]&lt;&gt;"",ZahlungsZeitplan[[#This Row],[ANFANGSSALDO]]*(ZinsSatz/ZahlungenProJahr),""),IF(ZahlungsZeitplan[[#This Row],['#]]&lt;&gt;"",ZahlungsZeitplan[[#This Row],[ANFANGSSALDO]]*((ZinsSatz+$D$9)/ZahlungenProJahr),""))</f>
        <v/>
      </c>
      <c r="J285" s="195" t="str">
        <f ca="1">IF(ZahlungsZeitplan[[#This Row],['#]]&lt;&gt;"",IF(ZahlungsZeitplan[[#This Row],[Zahlungen (Plan)]]+ZahlungsZeitplan[[#This Row],[SONDERZAHLUNG]]&lt;=ZahlungsZeitplan[[#This Row],[ANFANGSSALDO]],ZahlungsZeitplan[[#This Row],[ANFANGSSALDO]]-ZahlungsZeitplan[[#This Row],[KAPITAL]],0),"")</f>
        <v/>
      </c>
      <c r="K285" s="195" t="str">
        <f ca="1">IF(ZahlungsZeitplan[[#This Row],['#]]&lt;&gt;"",SUM(INDEX(ZahlungsZeitplan[ZINSEN],1,1):ZahlungsZeitplan[[#This Row],[ZINSEN]]),"")</f>
        <v/>
      </c>
    </row>
    <row r="286" spans="2:11">
      <c r="B286" s="193" t="str">
        <f ca="1">IF(DarlehenIstGut,IF(ROW()-ROW(ZahlungsZeitplan[[#Headers],['#]])&gt;PlanmäßigeAnzahlZahlungen,"",ROW()-ROW(ZahlungsZeitplan[[#Headers],['#]])),"")</f>
        <v/>
      </c>
      <c r="C286" s="194" t="str">
        <f ca="1">IF(ZahlungsZeitplan[[#This Row],['#]]&lt;&gt;"",EOMONTH(DarlehensAnfangsDatum,ROW(ZahlungsZeitplan[[#This Row],['#]])-ROW(ZahlungsZeitplan[[#Headers],['#]])-2)+DAY(DarlehensAnfangsDatum),"")</f>
        <v/>
      </c>
      <c r="D286" s="195" t="str">
        <f ca="1">IF(ZahlungsZeitplan[[#This Row],['#]]&lt;&gt;"",IF(ROW()-ROW(ZahlungsZeitplan[[#Headers],[ANFANGSSALDO]])=1,DarlehensBetrag,INDEX(ZahlungsZeitplan[ENDSALDO],ROW()-ROW(ZahlungsZeitplan[[#Headers],[ANFANGSSALDO]])-1)),"")</f>
        <v/>
      </c>
      <c r="E286" s="195" t="str">
        <f ca="1">IF(ZahlungsZeitplan[[#This Row],['#]]&lt;&gt;"",PlanmäßigeZahlung,"")</f>
        <v/>
      </c>
      <c r="F28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6" s="195" t="str">
        <f ca="1">IF(ZahlungsZeitplan[[#This Row],['#]]&lt;&gt;"",ZahlungsZeitplan[[#This Row],[GESAMTZAHLUNG]]-ZahlungsZeitplan[[#This Row],[ZINSEN]],"")</f>
        <v/>
      </c>
      <c r="I286" s="195" t="str">
        <f ca="1">IF(ZahlungsZeitplan[[#This Row],['#]]&lt;=($D$8*12),IF(ZahlungsZeitplan[[#This Row],['#]]&lt;&gt;"",ZahlungsZeitplan[[#This Row],[ANFANGSSALDO]]*(ZinsSatz/ZahlungenProJahr),""),IF(ZahlungsZeitplan[[#This Row],['#]]&lt;&gt;"",ZahlungsZeitplan[[#This Row],[ANFANGSSALDO]]*((ZinsSatz+$D$9)/ZahlungenProJahr),""))</f>
        <v/>
      </c>
      <c r="J286" s="195" t="str">
        <f ca="1">IF(ZahlungsZeitplan[[#This Row],['#]]&lt;&gt;"",IF(ZahlungsZeitplan[[#This Row],[Zahlungen (Plan)]]+ZahlungsZeitplan[[#This Row],[SONDERZAHLUNG]]&lt;=ZahlungsZeitplan[[#This Row],[ANFANGSSALDO]],ZahlungsZeitplan[[#This Row],[ANFANGSSALDO]]-ZahlungsZeitplan[[#This Row],[KAPITAL]],0),"")</f>
        <v/>
      </c>
      <c r="K286" s="195" t="str">
        <f ca="1">IF(ZahlungsZeitplan[[#This Row],['#]]&lt;&gt;"",SUM(INDEX(ZahlungsZeitplan[ZINSEN],1,1):ZahlungsZeitplan[[#This Row],[ZINSEN]]),"")</f>
        <v/>
      </c>
    </row>
    <row r="287" spans="2:11">
      <c r="B287" s="193" t="str">
        <f ca="1">IF(DarlehenIstGut,IF(ROW()-ROW(ZahlungsZeitplan[[#Headers],['#]])&gt;PlanmäßigeAnzahlZahlungen,"",ROW()-ROW(ZahlungsZeitplan[[#Headers],['#]])),"")</f>
        <v/>
      </c>
      <c r="C287" s="194" t="str">
        <f ca="1">IF(ZahlungsZeitplan[[#This Row],['#]]&lt;&gt;"",EOMONTH(DarlehensAnfangsDatum,ROW(ZahlungsZeitplan[[#This Row],['#]])-ROW(ZahlungsZeitplan[[#Headers],['#]])-2)+DAY(DarlehensAnfangsDatum),"")</f>
        <v/>
      </c>
      <c r="D287" s="195" t="str">
        <f ca="1">IF(ZahlungsZeitplan[[#This Row],['#]]&lt;&gt;"",IF(ROW()-ROW(ZahlungsZeitplan[[#Headers],[ANFANGSSALDO]])=1,DarlehensBetrag,INDEX(ZahlungsZeitplan[ENDSALDO],ROW()-ROW(ZahlungsZeitplan[[#Headers],[ANFANGSSALDO]])-1)),"")</f>
        <v/>
      </c>
      <c r="E287" s="195" t="str">
        <f ca="1">IF(ZahlungsZeitplan[[#This Row],['#]]&lt;&gt;"",PlanmäßigeZahlung,"")</f>
        <v/>
      </c>
      <c r="F28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7" s="195" t="str">
        <f ca="1">IF(ZahlungsZeitplan[[#This Row],['#]]&lt;&gt;"",ZahlungsZeitplan[[#This Row],[GESAMTZAHLUNG]]-ZahlungsZeitplan[[#This Row],[ZINSEN]],"")</f>
        <v/>
      </c>
      <c r="I287" s="195" t="str">
        <f ca="1">IF(ZahlungsZeitplan[[#This Row],['#]]&lt;=($D$8*12),IF(ZahlungsZeitplan[[#This Row],['#]]&lt;&gt;"",ZahlungsZeitplan[[#This Row],[ANFANGSSALDO]]*(ZinsSatz/ZahlungenProJahr),""),IF(ZahlungsZeitplan[[#This Row],['#]]&lt;&gt;"",ZahlungsZeitplan[[#This Row],[ANFANGSSALDO]]*((ZinsSatz+$D$9)/ZahlungenProJahr),""))</f>
        <v/>
      </c>
      <c r="J287" s="195" t="str">
        <f ca="1">IF(ZahlungsZeitplan[[#This Row],['#]]&lt;&gt;"",IF(ZahlungsZeitplan[[#This Row],[Zahlungen (Plan)]]+ZahlungsZeitplan[[#This Row],[SONDERZAHLUNG]]&lt;=ZahlungsZeitplan[[#This Row],[ANFANGSSALDO]],ZahlungsZeitplan[[#This Row],[ANFANGSSALDO]]-ZahlungsZeitplan[[#This Row],[KAPITAL]],0),"")</f>
        <v/>
      </c>
      <c r="K287" s="195" t="str">
        <f ca="1">IF(ZahlungsZeitplan[[#This Row],['#]]&lt;&gt;"",SUM(INDEX(ZahlungsZeitplan[ZINSEN],1,1):ZahlungsZeitplan[[#This Row],[ZINSEN]]),"")</f>
        <v/>
      </c>
    </row>
    <row r="288" spans="2:11">
      <c r="B288" s="193" t="str">
        <f ca="1">IF(DarlehenIstGut,IF(ROW()-ROW(ZahlungsZeitplan[[#Headers],['#]])&gt;PlanmäßigeAnzahlZahlungen,"",ROW()-ROW(ZahlungsZeitplan[[#Headers],['#]])),"")</f>
        <v/>
      </c>
      <c r="C288" s="194" t="str">
        <f ca="1">IF(ZahlungsZeitplan[[#This Row],['#]]&lt;&gt;"",EOMONTH(DarlehensAnfangsDatum,ROW(ZahlungsZeitplan[[#This Row],['#]])-ROW(ZahlungsZeitplan[[#Headers],['#]])-2)+DAY(DarlehensAnfangsDatum),"")</f>
        <v/>
      </c>
      <c r="D288" s="195" t="str">
        <f ca="1">IF(ZahlungsZeitplan[[#This Row],['#]]&lt;&gt;"",IF(ROW()-ROW(ZahlungsZeitplan[[#Headers],[ANFANGSSALDO]])=1,DarlehensBetrag,INDEX(ZahlungsZeitplan[ENDSALDO],ROW()-ROW(ZahlungsZeitplan[[#Headers],[ANFANGSSALDO]])-1)),"")</f>
        <v/>
      </c>
      <c r="E288" s="195" t="str">
        <f ca="1">IF(ZahlungsZeitplan[[#This Row],['#]]&lt;&gt;"",PlanmäßigeZahlung,"")</f>
        <v/>
      </c>
      <c r="F28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8" s="195" t="str">
        <f ca="1">IF(ZahlungsZeitplan[[#This Row],['#]]&lt;&gt;"",ZahlungsZeitplan[[#This Row],[GESAMTZAHLUNG]]-ZahlungsZeitplan[[#This Row],[ZINSEN]],"")</f>
        <v/>
      </c>
      <c r="I288" s="195" t="str">
        <f ca="1">IF(ZahlungsZeitplan[[#This Row],['#]]&lt;=($D$8*12),IF(ZahlungsZeitplan[[#This Row],['#]]&lt;&gt;"",ZahlungsZeitplan[[#This Row],[ANFANGSSALDO]]*(ZinsSatz/ZahlungenProJahr),""),IF(ZahlungsZeitplan[[#This Row],['#]]&lt;&gt;"",ZahlungsZeitplan[[#This Row],[ANFANGSSALDO]]*((ZinsSatz+$D$9)/ZahlungenProJahr),""))</f>
        <v/>
      </c>
      <c r="J288" s="195" t="str">
        <f ca="1">IF(ZahlungsZeitplan[[#This Row],['#]]&lt;&gt;"",IF(ZahlungsZeitplan[[#This Row],[Zahlungen (Plan)]]+ZahlungsZeitplan[[#This Row],[SONDERZAHLUNG]]&lt;=ZahlungsZeitplan[[#This Row],[ANFANGSSALDO]],ZahlungsZeitplan[[#This Row],[ANFANGSSALDO]]-ZahlungsZeitplan[[#This Row],[KAPITAL]],0),"")</f>
        <v/>
      </c>
      <c r="K288" s="195" t="str">
        <f ca="1">IF(ZahlungsZeitplan[[#This Row],['#]]&lt;&gt;"",SUM(INDEX(ZahlungsZeitplan[ZINSEN],1,1):ZahlungsZeitplan[[#This Row],[ZINSEN]]),"")</f>
        <v/>
      </c>
    </row>
    <row r="289" spans="2:11">
      <c r="B289" s="193" t="str">
        <f ca="1">IF(DarlehenIstGut,IF(ROW()-ROW(ZahlungsZeitplan[[#Headers],['#]])&gt;PlanmäßigeAnzahlZahlungen,"",ROW()-ROW(ZahlungsZeitplan[[#Headers],['#]])),"")</f>
        <v/>
      </c>
      <c r="C289" s="194" t="str">
        <f ca="1">IF(ZahlungsZeitplan[[#This Row],['#]]&lt;&gt;"",EOMONTH(DarlehensAnfangsDatum,ROW(ZahlungsZeitplan[[#This Row],['#]])-ROW(ZahlungsZeitplan[[#Headers],['#]])-2)+DAY(DarlehensAnfangsDatum),"")</f>
        <v/>
      </c>
      <c r="D289" s="195" t="str">
        <f ca="1">IF(ZahlungsZeitplan[[#This Row],['#]]&lt;&gt;"",IF(ROW()-ROW(ZahlungsZeitplan[[#Headers],[ANFANGSSALDO]])=1,DarlehensBetrag,INDEX(ZahlungsZeitplan[ENDSALDO],ROW()-ROW(ZahlungsZeitplan[[#Headers],[ANFANGSSALDO]])-1)),"")</f>
        <v/>
      </c>
      <c r="E289" s="195" t="str">
        <f ca="1">IF(ZahlungsZeitplan[[#This Row],['#]]&lt;&gt;"",PlanmäßigeZahlung,"")</f>
        <v/>
      </c>
      <c r="F28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8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89" s="195" t="str">
        <f ca="1">IF(ZahlungsZeitplan[[#This Row],['#]]&lt;&gt;"",ZahlungsZeitplan[[#This Row],[GESAMTZAHLUNG]]-ZahlungsZeitplan[[#This Row],[ZINSEN]],"")</f>
        <v/>
      </c>
      <c r="I289" s="195" t="str">
        <f ca="1">IF(ZahlungsZeitplan[[#This Row],['#]]&lt;=($D$8*12),IF(ZahlungsZeitplan[[#This Row],['#]]&lt;&gt;"",ZahlungsZeitplan[[#This Row],[ANFANGSSALDO]]*(ZinsSatz/ZahlungenProJahr),""),IF(ZahlungsZeitplan[[#This Row],['#]]&lt;&gt;"",ZahlungsZeitplan[[#This Row],[ANFANGSSALDO]]*((ZinsSatz+$D$9)/ZahlungenProJahr),""))</f>
        <v/>
      </c>
      <c r="J289" s="195" t="str">
        <f ca="1">IF(ZahlungsZeitplan[[#This Row],['#]]&lt;&gt;"",IF(ZahlungsZeitplan[[#This Row],[Zahlungen (Plan)]]+ZahlungsZeitplan[[#This Row],[SONDERZAHLUNG]]&lt;=ZahlungsZeitplan[[#This Row],[ANFANGSSALDO]],ZahlungsZeitplan[[#This Row],[ANFANGSSALDO]]-ZahlungsZeitplan[[#This Row],[KAPITAL]],0),"")</f>
        <v/>
      </c>
      <c r="K289" s="195" t="str">
        <f ca="1">IF(ZahlungsZeitplan[[#This Row],['#]]&lt;&gt;"",SUM(INDEX(ZahlungsZeitplan[ZINSEN],1,1):ZahlungsZeitplan[[#This Row],[ZINSEN]]),"")</f>
        <v/>
      </c>
    </row>
    <row r="290" spans="2:11">
      <c r="B290" s="193" t="str">
        <f ca="1">IF(DarlehenIstGut,IF(ROW()-ROW(ZahlungsZeitplan[[#Headers],['#]])&gt;PlanmäßigeAnzahlZahlungen,"",ROW()-ROW(ZahlungsZeitplan[[#Headers],['#]])),"")</f>
        <v/>
      </c>
      <c r="C290" s="194" t="str">
        <f ca="1">IF(ZahlungsZeitplan[[#This Row],['#]]&lt;&gt;"",EOMONTH(DarlehensAnfangsDatum,ROW(ZahlungsZeitplan[[#This Row],['#]])-ROW(ZahlungsZeitplan[[#Headers],['#]])-2)+DAY(DarlehensAnfangsDatum),"")</f>
        <v/>
      </c>
      <c r="D290" s="195" t="str">
        <f ca="1">IF(ZahlungsZeitplan[[#This Row],['#]]&lt;&gt;"",IF(ROW()-ROW(ZahlungsZeitplan[[#Headers],[ANFANGSSALDO]])=1,DarlehensBetrag,INDEX(ZahlungsZeitplan[ENDSALDO],ROW()-ROW(ZahlungsZeitplan[[#Headers],[ANFANGSSALDO]])-1)),"")</f>
        <v/>
      </c>
      <c r="E290" s="195" t="str">
        <f ca="1">IF(ZahlungsZeitplan[[#This Row],['#]]&lt;&gt;"",PlanmäßigeZahlung,"")</f>
        <v/>
      </c>
      <c r="F29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0" s="195" t="str">
        <f ca="1">IF(ZahlungsZeitplan[[#This Row],['#]]&lt;&gt;"",ZahlungsZeitplan[[#This Row],[GESAMTZAHLUNG]]-ZahlungsZeitplan[[#This Row],[ZINSEN]],"")</f>
        <v/>
      </c>
      <c r="I290" s="195" t="str">
        <f ca="1">IF(ZahlungsZeitplan[[#This Row],['#]]&lt;=($D$8*12),IF(ZahlungsZeitplan[[#This Row],['#]]&lt;&gt;"",ZahlungsZeitplan[[#This Row],[ANFANGSSALDO]]*(ZinsSatz/ZahlungenProJahr),""),IF(ZahlungsZeitplan[[#This Row],['#]]&lt;&gt;"",ZahlungsZeitplan[[#This Row],[ANFANGSSALDO]]*((ZinsSatz+$D$9)/ZahlungenProJahr),""))</f>
        <v/>
      </c>
      <c r="J290" s="195" t="str">
        <f ca="1">IF(ZahlungsZeitplan[[#This Row],['#]]&lt;&gt;"",IF(ZahlungsZeitplan[[#This Row],[Zahlungen (Plan)]]+ZahlungsZeitplan[[#This Row],[SONDERZAHLUNG]]&lt;=ZahlungsZeitplan[[#This Row],[ANFANGSSALDO]],ZahlungsZeitplan[[#This Row],[ANFANGSSALDO]]-ZahlungsZeitplan[[#This Row],[KAPITAL]],0),"")</f>
        <v/>
      </c>
      <c r="K290" s="195" t="str">
        <f ca="1">IF(ZahlungsZeitplan[[#This Row],['#]]&lt;&gt;"",SUM(INDEX(ZahlungsZeitplan[ZINSEN],1,1):ZahlungsZeitplan[[#This Row],[ZINSEN]]),"")</f>
        <v/>
      </c>
    </row>
    <row r="291" spans="2:11">
      <c r="B291" s="193" t="str">
        <f ca="1">IF(DarlehenIstGut,IF(ROW()-ROW(ZahlungsZeitplan[[#Headers],['#]])&gt;PlanmäßigeAnzahlZahlungen,"",ROW()-ROW(ZahlungsZeitplan[[#Headers],['#]])),"")</f>
        <v/>
      </c>
      <c r="C291" s="194" t="str">
        <f ca="1">IF(ZahlungsZeitplan[[#This Row],['#]]&lt;&gt;"",EOMONTH(DarlehensAnfangsDatum,ROW(ZahlungsZeitplan[[#This Row],['#]])-ROW(ZahlungsZeitplan[[#Headers],['#]])-2)+DAY(DarlehensAnfangsDatum),"")</f>
        <v/>
      </c>
      <c r="D291" s="195" t="str">
        <f ca="1">IF(ZahlungsZeitplan[[#This Row],['#]]&lt;&gt;"",IF(ROW()-ROW(ZahlungsZeitplan[[#Headers],[ANFANGSSALDO]])=1,DarlehensBetrag,INDEX(ZahlungsZeitplan[ENDSALDO],ROW()-ROW(ZahlungsZeitplan[[#Headers],[ANFANGSSALDO]])-1)),"")</f>
        <v/>
      </c>
      <c r="E291" s="195" t="str">
        <f ca="1">IF(ZahlungsZeitplan[[#This Row],['#]]&lt;&gt;"",PlanmäßigeZahlung,"")</f>
        <v/>
      </c>
      <c r="F29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1" s="195" t="str">
        <f ca="1">IF(ZahlungsZeitplan[[#This Row],['#]]&lt;&gt;"",ZahlungsZeitplan[[#This Row],[GESAMTZAHLUNG]]-ZahlungsZeitplan[[#This Row],[ZINSEN]],"")</f>
        <v/>
      </c>
      <c r="I291" s="195" t="str">
        <f ca="1">IF(ZahlungsZeitplan[[#This Row],['#]]&lt;=($D$8*12),IF(ZahlungsZeitplan[[#This Row],['#]]&lt;&gt;"",ZahlungsZeitplan[[#This Row],[ANFANGSSALDO]]*(ZinsSatz/ZahlungenProJahr),""),IF(ZahlungsZeitplan[[#This Row],['#]]&lt;&gt;"",ZahlungsZeitplan[[#This Row],[ANFANGSSALDO]]*((ZinsSatz+$D$9)/ZahlungenProJahr),""))</f>
        <v/>
      </c>
      <c r="J291" s="195" t="str">
        <f ca="1">IF(ZahlungsZeitplan[[#This Row],['#]]&lt;&gt;"",IF(ZahlungsZeitplan[[#This Row],[Zahlungen (Plan)]]+ZahlungsZeitplan[[#This Row],[SONDERZAHLUNG]]&lt;=ZahlungsZeitplan[[#This Row],[ANFANGSSALDO]],ZahlungsZeitplan[[#This Row],[ANFANGSSALDO]]-ZahlungsZeitplan[[#This Row],[KAPITAL]],0),"")</f>
        <v/>
      </c>
      <c r="K291" s="195" t="str">
        <f ca="1">IF(ZahlungsZeitplan[[#This Row],['#]]&lt;&gt;"",SUM(INDEX(ZahlungsZeitplan[ZINSEN],1,1):ZahlungsZeitplan[[#This Row],[ZINSEN]]),"")</f>
        <v/>
      </c>
    </row>
    <row r="292" spans="2:11">
      <c r="B292" s="193" t="str">
        <f ca="1">IF(DarlehenIstGut,IF(ROW()-ROW(ZahlungsZeitplan[[#Headers],['#]])&gt;PlanmäßigeAnzahlZahlungen,"",ROW()-ROW(ZahlungsZeitplan[[#Headers],['#]])),"")</f>
        <v/>
      </c>
      <c r="C292" s="194" t="str">
        <f ca="1">IF(ZahlungsZeitplan[[#This Row],['#]]&lt;&gt;"",EOMONTH(DarlehensAnfangsDatum,ROW(ZahlungsZeitplan[[#This Row],['#]])-ROW(ZahlungsZeitplan[[#Headers],['#]])-2)+DAY(DarlehensAnfangsDatum),"")</f>
        <v/>
      </c>
      <c r="D292" s="195" t="str">
        <f ca="1">IF(ZahlungsZeitplan[[#This Row],['#]]&lt;&gt;"",IF(ROW()-ROW(ZahlungsZeitplan[[#Headers],[ANFANGSSALDO]])=1,DarlehensBetrag,INDEX(ZahlungsZeitplan[ENDSALDO],ROW()-ROW(ZahlungsZeitplan[[#Headers],[ANFANGSSALDO]])-1)),"")</f>
        <v/>
      </c>
      <c r="E292" s="195" t="str">
        <f ca="1">IF(ZahlungsZeitplan[[#This Row],['#]]&lt;&gt;"",PlanmäßigeZahlung,"")</f>
        <v/>
      </c>
      <c r="F29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2" s="195" t="str">
        <f ca="1">IF(ZahlungsZeitplan[[#This Row],['#]]&lt;&gt;"",ZahlungsZeitplan[[#This Row],[GESAMTZAHLUNG]]-ZahlungsZeitplan[[#This Row],[ZINSEN]],"")</f>
        <v/>
      </c>
      <c r="I292" s="195" t="str">
        <f ca="1">IF(ZahlungsZeitplan[[#This Row],['#]]&lt;=($D$8*12),IF(ZahlungsZeitplan[[#This Row],['#]]&lt;&gt;"",ZahlungsZeitplan[[#This Row],[ANFANGSSALDO]]*(ZinsSatz/ZahlungenProJahr),""),IF(ZahlungsZeitplan[[#This Row],['#]]&lt;&gt;"",ZahlungsZeitplan[[#This Row],[ANFANGSSALDO]]*((ZinsSatz+$D$9)/ZahlungenProJahr),""))</f>
        <v/>
      </c>
      <c r="J292" s="195" t="str">
        <f ca="1">IF(ZahlungsZeitplan[[#This Row],['#]]&lt;&gt;"",IF(ZahlungsZeitplan[[#This Row],[Zahlungen (Plan)]]+ZahlungsZeitplan[[#This Row],[SONDERZAHLUNG]]&lt;=ZahlungsZeitplan[[#This Row],[ANFANGSSALDO]],ZahlungsZeitplan[[#This Row],[ANFANGSSALDO]]-ZahlungsZeitplan[[#This Row],[KAPITAL]],0),"")</f>
        <v/>
      </c>
      <c r="K292" s="195" t="str">
        <f ca="1">IF(ZahlungsZeitplan[[#This Row],['#]]&lt;&gt;"",SUM(INDEX(ZahlungsZeitplan[ZINSEN],1,1):ZahlungsZeitplan[[#This Row],[ZINSEN]]),"")</f>
        <v/>
      </c>
    </row>
    <row r="293" spans="2:11">
      <c r="B293" s="193" t="str">
        <f ca="1">IF(DarlehenIstGut,IF(ROW()-ROW(ZahlungsZeitplan[[#Headers],['#]])&gt;PlanmäßigeAnzahlZahlungen,"",ROW()-ROW(ZahlungsZeitplan[[#Headers],['#]])),"")</f>
        <v/>
      </c>
      <c r="C293" s="194" t="str">
        <f ca="1">IF(ZahlungsZeitplan[[#This Row],['#]]&lt;&gt;"",EOMONTH(DarlehensAnfangsDatum,ROW(ZahlungsZeitplan[[#This Row],['#]])-ROW(ZahlungsZeitplan[[#Headers],['#]])-2)+DAY(DarlehensAnfangsDatum),"")</f>
        <v/>
      </c>
      <c r="D293" s="195" t="str">
        <f ca="1">IF(ZahlungsZeitplan[[#This Row],['#]]&lt;&gt;"",IF(ROW()-ROW(ZahlungsZeitplan[[#Headers],[ANFANGSSALDO]])=1,DarlehensBetrag,INDEX(ZahlungsZeitplan[ENDSALDO],ROW()-ROW(ZahlungsZeitplan[[#Headers],[ANFANGSSALDO]])-1)),"")</f>
        <v/>
      </c>
      <c r="E293" s="195" t="str">
        <f ca="1">IF(ZahlungsZeitplan[[#This Row],['#]]&lt;&gt;"",PlanmäßigeZahlung,"")</f>
        <v/>
      </c>
      <c r="F29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3" s="195" t="str">
        <f ca="1">IF(ZahlungsZeitplan[[#This Row],['#]]&lt;&gt;"",ZahlungsZeitplan[[#This Row],[GESAMTZAHLUNG]]-ZahlungsZeitplan[[#This Row],[ZINSEN]],"")</f>
        <v/>
      </c>
      <c r="I293" s="195" t="str">
        <f ca="1">IF(ZahlungsZeitplan[[#This Row],['#]]&lt;=($D$8*12),IF(ZahlungsZeitplan[[#This Row],['#]]&lt;&gt;"",ZahlungsZeitplan[[#This Row],[ANFANGSSALDO]]*(ZinsSatz/ZahlungenProJahr),""),IF(ZahlungsZeitplan[[#This Row],['#]]&lt;&gt;"",ZahlungsZeitplan[[#This Row],[ANFANGSSALDO]]*((ZinsSatz+$D$9)/ZahlungenProJahr),""))</f>
        <v/>
      </c>
      <c r="J293" s="195" t="str">
        <f ca="1">IF(ZahlungsZeitplan[[#This Row],['#]]&lt;&gt;"",IF(ZahlungsZeitplan[[#This Row],[Zahlungen (Plan)]]+ZahlungsZeitplan[[#This Row],[SONDERZAHLUNG]]&lt;=ZahlungsZeitplan[[#This Row],[ANFANGSSALDO]],ZahlungsZeitplan[[#This Row],[ANFANGSSALDO]]-ZahlungsZeitplan[[#This Row],[KAPITAL]],0),"")</f>
        <v/>
      </c>
      <c r="K293" s="195" t="str">
        <f ca="1">IF(ZahlungsZeitplan[[#This Row],['#]]&lt;&gt;"",SUM(INDEX(ZahlungsZeitplan[ZINSEN],1,1):ZahlungsZeitplan[[#This Row],[ZINSEN]]),"")</f>
        <v/>
      </c>
    </row>
    <row r="294" spans="2:11">
      <c r="B294" s="193" t="str">
        <f ca="1">IF(DarlehenIstGut,IF(ROW()-ROW(ZahlungsZeitplan[[#Headers],['#]])&gt;PlanmäßigeAnzahlZahlungen,"",ROW()-ROW(ZahlungsZeitplan[[#Headers],['#]])),"")</f>
        <v/>
      </c>
      <c r="C294" s="194" t="str">
        <f ca="1">IF(ZahlungsZeitplan[[#This Row],['#]]&lt;&gt;"",EOMONTH(DarlehensAnfangsDatum,ROW(ZahlungsZeitplan[[#This Row],['#]])-ROW(ZahlungsZeitplan[[#Headers],['#]])-2)+DAY(DarlehensAnfangsDatum),"")</f>
        <v/>
      </c>
      <c r="D294" s="195" t="str">
        <f ca="1">IF(ZahlungsZeitplan[[#This Row],['#]]&lt;&gt;"",IF(ROW()-ROW(ZahlungsZeitplan[[#Headers],[ANFANGSSALDO]])=1,DarlehensBetrag,INDEX(ZahlungsZeitplan[ENDSALDO],ROW()-ROW(ZahlungsZeitplan[[#Headers],[ANFANGSSALDO]])-1)),"")</f>
        <v/>
      </c>
      <c r="E294" s="195" t="str">
        <f ca="1">IF(ZahlungsZeitplan[[#This Row],['#]]&lt;&gt;"",PlanmäßigeZahlung,"")</f>
        <v/>
      </c>
      <c r="F29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4" s="195" t="str">
        <f ca="1">IF(ZahlungsZeitplan[[#This Row],['#]]&lt;&gt;"",ZahlungsZeitplan[[#This Row],[GESAMTZAHLUNG]]-ZahlungsZeitplan[[#This Row],[ZINSEN]],"")</f>
        <v/>
      </c>
      <c r="I294" s="195" t="str">
        <f ca="1">IF(ZahlungsZeitplan[[#This Row],['#]]&lt;=($D$8*12),IF(ZahlungsZeitplan[[#This Row],['#]]&lt;&gt;"",ZahlungsZeitplan[[#This Row],[ANFANGSSALDO]]*(ZinsSatz/ZahlungenProJahr),""),IF(ZahlungsZeitplan[[#This Row],['#]]&lt;&gt;"",ZahlungsZeitplan[[#This Row],[ANFANGSSALDO]]*((ZinsSatz+$D$9)/ZahlungenProJahr),""))</f>
        <v/>
      </c>
      <c r="J294" s="195" t="str">
        <f ca="1">IF(ZahlungsZeitplan[[#This Row],['#]]&lt;&gt;"",IF(ZahlungsZeitplan[[#This Row],[Zahlungen (Plan)]]+ZahlungsZeitplan[[#This Row],[SONDERZAHLUNG]]&lt;=ZahlungsZeitplan[[#This Row],[ANFANGSSALDO]],ZahlungsZeitplan[[#This Row],[ANFANGSSALDO]]-ZahlungsZeitplan[[#This Row],[KAPITAL]],0),"")</f>
        <v/>
      </c>
      <c r="K294" s="195" t="str">
        <f ca="1">IF(ZahlungsZeitplan[[#This Row],['#]]&lt;&gt;"",SUM(INDEX(ZahlungsZeitplan[ZINSEN],1,1):ZahlungsZeitplan[[#This Row],[ZINSEN]]),"")</f>
        <v/>
      </c>
    </row>
    <row r="295" spans="2:11">
      <c r="B295" s="193" t="str">
        <f ca="1">IF(DarlehenIstGut,IF(ROW()-ROW(ZahlungsZeitplan[[#Headers],['#]])&gt;PlanmäßigeAnzahlZahlungen,"",ROW()-ROW(ZahlungsZeitplan[[#Headers],['#]])),"")</f>
        <v/>
      </c>
      <c r="C295" s="194" t="str">
        <f ca="1">IF(ZahlungsZeitplan[[#This Row],['#]]&lt;&gt;"",EOMONTH(DarlehensAnfangsDatum,ROW(ZahlungsZeitplan[[#This Row],['#]])-ROW(ZahlungsZeitplan[[#Headers],['#]])-2)+DAY(DarlehensAnfangsDatum),"")</f>
        <v/>
      </c>
      <c r="D295" s="195" t="str">
        <f ca="1">IF(ZahlungsZeitplan[[#This Row],['#]]&lt;&gt;"",IF(ROW()-ROW(ZahlungsZeitplan[[#Headers],[ANFANGSSALDO]])=1,DarlehensBetrag,INDEX(ZahlungsZeitplan[ENDSALDO],ROW()-ROW(ZahlungsZeitplan[[#Headers],[ANFANGSSALDO]])-1)),"")</f>
        <v/>
      </c>
      <c r="E295" s="195" t="str">
        <f ca="1">IF(ZahlungsZeitplan[[#This Row],['#]]&lt;&gt;"",PlanmäßigeZahlung,"")</f>
        <v/>
      </c>
      <c r="F29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5" s="195" t="str">
        <f ca="1">IF(ZahlungsZeitplan[[#This Row],['#]]&lt;&gt;"",ZahlungsZeitplan[[#This Row],[GESAMTZAHLUNG]]-ZahlungsZeitplan[[#This Row],[ZINSEN]],"")</f>
        <v/>
      </c>
      <c r="I295" s="195" t="str">
        <f ca="1">IF(ZahlungsZeitplan[[#This Row],['#]]&lt;=($D$8*12),IF(ZahlungsZeitplan[[#This Row],['#]]&lt;&gt;"",ZahlungsZeitplan[[#This Row],[ANFANGSSALDO]]*(ZinsSatz/ZahlungenProJahr),""),IF(ZahlungsZeitplan[[#This Row],['#]]&lt;&gt;"",ZahlungsZeitplan[[#This Row],[ANFANGSSALDO]]*((ZinsSatz+$D$9)/ZahlungenProJahr),""))</f>
        <v/>
      </c>
      <c r="J295" s="195" t="str">
        <f ca="1">IF(ZahlungsZeitplan[[#This Row],['#]]&lt;&gt;"",IF(ZahlungsZeitplan[[#This Row],[Zahlungen (Plan)]]+ZahlungsZeitplan[[#This Row],[SONDERZAHLUNG]]&lt;=ZahlungsZeitplan[[#This Row],[ANFANGSSALDO]],ZahlungsZeitplan[[#This Row],[ANFANGSSALDO]]-ZahlungsZeitplan[[#This Row],[KAPITAL]],0),"")</f>
        <v/>
      </c>
      <c r="K295" s="195" t="str">
        <f ca="1">IF(ZahlungsZeitplan[[#This Row],['#]]&lt;&gt;"",SUM(INDEX(ZahlungsZeitplan[ZINSEN],1,1):ZahlungsZeitplan[[#This Row],[ZINSEN]]),"")</f>
        <v/>
      </c>
    </row>
    <row r="296" spans="2:11">
      <c r="B296" s="193" t="str">
        <f ca="1">IF(DarlehenIstGut,IF(ROW()-ROW(ZahlungsZeitplan[[#Headers],['#]])&gt;PlanmäßigeAnzahlZahlungen,"",ROW()-ROW(ZahlungsZeitplan[[#Headers],['#]])),"")</f>
        <v/>
      </c>
      <c r="C296" s="194" t="str">
        <f ca="1">IF(ZahlungsZeitplan[[#This Row],['#]]&lt;&gt;"",EOMONTH(DarlehensAnfangsDatum,ROW(ZahlungsZeitplan[[#This Row],['#]])-ROW(ZahlungsZeitplan[[#Headers],['#]])-2)+DAY(DarlehensAnfangsDatum),"")</f>
        <v/>
      </c>
      <c r="D296" s="195" t="str">
        <f ca="1">IF(ZahlungsZeitplan[[#This Row],['#]]&lt;&gt;"",IF(ROW()-ROW(ZahlungsZeitplan[[#Headers],[ANFANGSSALDO]])=1,DarlehensBetrag,INDEX(ZahlungsZeitplan[ENDSALDO],ROW()-ROW(ZahlungsZeitplan[[#Headers],[ANFANGSSALDO]])-1)),"")</f>
        <v/>
      </c>
      <c r="E296" s="195" t="str">
        <f ca="1">IF(ZahlungsZeitplan[[#This Row],['#]]&lt;&gt;"",PlanmäßigeZahlung,"")</f>
        <v/>
      </c>
      <c r="F29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6" s="195" t="str">
        <f ca="1">IF(ZahlungsZeitplan[[#This Row],['#]]&lt;&gt;"",ZahlungsZeitplan[[#This Row],[GESAMTZAHLUNG]]-ZahlungsZeitplan[[#This Row],[ZINSEN]],"")</f>
        <v/>
      </c>
      <c r="I296" s="195" t="str">
        <f ca="1">IF(ZahlungsZeitplan[[#This Row],['#]]&lt;=($D$8*12),IF(ZahlungsZeitplan[[#This Row],['#]]&lt;&gt;"",ZahlungsZeitplan[[#This Row],[ANFANGSSALDO]]*(ZinsSatz/ZahlungenProJahr),""),IF(ZahlungsZeitplan[[#This Row],['#]]&lt;&gt;"",ZahlungsZeitplan[[#This Row],[ANFANGSSALDO]]*((ZinsSatz+$D$9)/ZahlungenProJahr),""))</f>
        <v/>
      </c>
      <c r="J296" s="195" t="str">
        <f ca="1">IF(ZahlungsZeitplan[[#This Row],['#]]&lt;&gt;"",IF(ZahlungsZeitplan[[#This Row],[Zahlungen (Plan)]]+ZahlungsZeitplan[[#This Row],[SONDERZAHLUNG]]&lt;=ZahlungsZeitplan[[#This Row],[ANFANGSSALDO]],ZahlungsZeitplan[[#This Row],[ANFANGSSALDO]]-ZahlungsZeitplan[[#This Row],[KAPITAL]],0),"")</f>
        <v/>
      </c>
      <c r="K296" s="195" t="str">
        <f ca="1">IF(ZahlungsZeitplan[[#This Row],['#]]&lt;&gt;"",SUM(INDEX(ZahlungsZeitplan[ZINSEN],1,1):ZahlungsZeitplan[[#This Row],[ZINSEN]]),"")</f>
        <v/>
      </c>
    </row>
    <row r="297" spans="2:11">
      <c r="B297" s="193" t="str">
        <f ca="1">IF(DarlehenIstGut,IF(ROW()-ROW(ZahlungsZeitplan[[#Headers],['#]])&gt;PlanmäßigeAnzahlZahlungen,"",ROW()-ROW(ZahlungsZeitplan[[#Headers],['#]])),"")</f>
        <v/>
      </c>
      <c r="C297" s="194" t="str">
        <f ca="1">IF(ZahlungsZeitplan[[#This Row],['#]]&lt;&gt;"",EOMONTH(DarlehensAnfangsDatum,ROW(ZahlungsZeitplan[[#This Row],['#]])-ROW(ZahlungsZeitplan[[#Headers],['#]])-2)+DAY(DarlehensAnfangsDatum),"")</f>
        <v/>
      </c>
      <c r="D297" s="195" t="str">
        <f ca="1">IF(ZahlungsZeitplan[[#This Row],['#]]&lt;&gt;"",IF(ROW()-ROW(ZahlungsZeitplan[[#Headers],[ANFANGSSALDO]])=1,DarlehensBetrag,INDEX(ZahlungsZeitplan[ENDSALDO],ROW()-ROW(ZahlungsZeitplan[[#Headers],[ANFANGSSALDO]])-1)),"")</f>
        <v/>
      </c>
      <c r="E297" s="195" t="str">
        <f ca="1">IF(ZahlungsZeitplan[[#This Row],['#]]&lt;&gt;"",PlanmäßigeZahlung,"")</f>
        <v/>
      </c>
      <c r="F29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7" s="195" t="str">
        <f ca="1">IF(ZahlungsZeitplan[[#This Row],['#]]&lt;&gt;"",ZahlungsZeitplan[[#This Row],[GESAMTZAHLUNG]]-ZahlungsZeitplan[[#This Row],[ZINSEN]],"")</f>
        <v/>
      </c>
      <c r="I297" s="195" t="str">
        <f ca="1">IF(ZahlungsZeitplan[[#This Row],['#]]&lt;=($D$8*12),IF(ZahlungsZeitplan[[#This Row],['#]]&lt;&gt;"",ZahlungsZeitplan[[#This Row],[ANFANGSSALDO]]*(ZinsSatz/ZahlungenProJahr),""),IF(ZahlungsZeitplan[[#This Row],['#]]&lt;&gt;"",ZahlungsZeitplan[[#This Row],[ANFANGSSALDO]]*((ZinsSatz+$D$9)/ZahlungenProJahr),""))</f>
        <v/>
      </c>
      <c r="J297" s="195" t="str">
        <f ca="1">IF(ZahlungsZeitplan[[#This Row],['#]]&lt;&gt;"",IF(ZahlungsZeitplan[[#This Row],[Zahlungen (Plan)]]+ZahlungsZeitplan[[#This Row],[SONDERZAHLUNG]]&lt;=ZahlungsZeitplan[[#This Row],[ANFANGSSALDO]],ZahlungsZeitplan[[#This Row],[ANFANGSSALDO]]-ZahlungsZeitplan[[#This Row],[KAPITAL]],0),"")</f>
        <v/>
      </c>
      <c r="K297" s="195" t="str">
        <f ca="1">IF(ZahlungsZeitplan[[#This Row],['#]]&lt;&gt;"",SUM(INDEX(ZahlungsZeitplan[ZINSEN],1,1):ZahlungsZeitplan[[#This Row],[ZINSEN]]),"")</f>
        <v/>
      </c>
    </row>
    <row r="298" spans="2:11">
      <c r="B298" s="193" t="str">
        <f ca="1">IF(DarlehenIstGut,IF(ROW()-ROW(ZahlungsZeitplan[[#Headers],['#]])&gt;PlanmäßigeAnzahlZahlungen,"",ROW()-ROW(ZahlungsZeitplan[[#Headers],['#]])),"")</f>
        <v/>
      </c>
      <c r="C298" s="194" t="str">
        <f ca="1">IF(ZahlungsZeitplan[[#This Row],['#]]&lt;&gt;"",EOMONTH(DarlehensAnfangsDatum,ROW(ZahlungsZeitplan[[#This Row],['#]])-ROW(ZahlungsZeitplan[[#Headers],['#]])-2)+DAY(DarlehensAnfangsDatum),"")</f>
        <v/>
      </c>
      <c r="D298" s="195" t="str">
        <f ca="1">IF(ZahlungsZeitplan[[#This Row],['#]]&lt;&gt;"",IF(ROW()-ROW(ZahlungsZeitplan[[#Headers],[ANFANGSSALDO]])=1,DarlehensBetrag,INDEX(ZahlungsZeitplan[ENDSALDO],ROW()-ROW(ZahlungsZeitplan[[#Headers],[ANFANGSSALDO]])-1)),"")</f>
        <v/>
      </c>
      <c r="E298" s="195" t="str">
        <f ca="1">IF(ZahlungsZeitplan[[#This Row],['#]]&lt;&gt;"",PlanmäßigeZahlung,"")</f>
        <v/>
      </c>
      <c r="F29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8" s="195" t="str">
        <f ca="1">IF(ZahlungsZeitplan[[#This Row],['#]]&lt;&gt;"",ZahlungsZeitplan[[#This Row],[GESAMTZAHLUNG]]-ZahlungsZeitplan[[#This Row],[ZINSEN]],"")</f>
        <v/>
      </c>
      <c r="I298" s="195" t="str">
        <f ca="1">IF(ZahlungsZeitplan[[#This Row],['#]]&lt;=($D$8*12),IF(ZahlungsZeitplan[[#This Row],['#]]&lt;&gt;"",ZahlungsZeitplan[[#This Row],[ANFANGSSALDO]]*(ZinsSatz/ZahlungenProJahr),""),IF(ZahlungsZeitplan[[#This Row],['#]]&lt;&gt;"",ZahlungsZeitplan[[#This Row],[ANFANGSSALDO]]*((ZinsSatz+$D$9)/ZahlungenProJahr),""))</f>
        <v/>
      </c>
      <c r="J298" s="195" t="str">
        <f ca="1">IF(ZahlungsZeitplan[[#This Row],['#]]&lt;&gt;"",IF(ZahlungsZeitplan[[#This Row],[Zahlungen (Plan)]]+ZahlungsZeitplan[[#This Row],[SONDERZAHLUNG]]&lt;=ZahlungsZeitplan[[#This Row],[ANFANGSSALDO]],ZahlungsZeitplan[[#This Row],[ANFANGSSALDO]]-ZahlungsZeitplan[[#This Row],[KAPITAL]],0),"")</f>
        <v/>
      </c>
      <c r="K298" s="195" t="str">
        <f ca="1">IF(ZahlungsZeitplan[[#This Row],['#]]&lt;&gt;"",SUM(INDEX(ZahlungsZeitplan[ZINSEN],1,1):ZahlungsZeitplan[[#This Row],[ZINSEN]]),"")</f>
        <v/>
      </c>
    </row>
    <row r="299" spans="2:11">
      <c r="B299" s="193" t="str">
        <f ca="1">IF(DarlehenIstGut,IF(ROW()-ROW(ZahlungsZeitplan[[#Headers],['#]])&gt;PlanmäßigeAnzahlZahlungen,"",ROW()-ROW(ZahlungsZeitplan[[#Headers],['#]])),"")</f>
        <v/>
      </c>
      <c r="C299" s="194" t="str">
        <f ca="1">IF(ZahlungsZeitplan[[#This Row],['#]]&lt;&gt;"",EOMONTH(DarlehensAnfangsDatum,ROW(ZahlungsZeitplan[[#This Row],['#]])-ROW(ZahlungsZeitplan[[#Headers],['#]])-2)+DAY(DarlehensAnfangsDatum),"")</f>
        <v/>
      </c>
      <c r="D299" s="195" t="str">
        <f ca="1">IF(ZahlungsZeitplan[[#This Row],['#]]&lt;&gt;"",IF(ROW()-ROW(ZahlungsZeitplan[[#Headers],[ANFANGSSALDO]])=1,DarlehensBetrag,INDEX(ZahlungsZeitplan[ENDSALDO],ROW()-ROW(ZahlungsZeitplan[[#Headers],[ANFANGSSALDO]])-1)),"")</f>
        <v/>
      </c>
      <c r="E299" s="195" t="str">
        <f ca="1">IF(ZahlungsZeitplan[[#This Row],['#]]&lt;&gt;"",PlanmäßigeZahlung,"")</f>
        <v/>
      </c>
      <c r="F29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29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299" s="195" t="str">
        <f ca="1">IF(ZahlungsZeitplan[[#This Row],['#]]&lt;&gt;"",ZahlungsZeitplan[[#This Row],[GESAMTZAHLUNG]]-ZahlungsZeitplan[[#This Row],[ZINSEN]],"")</f>
        <v/>
      </c>
      <c r="I299" s="195" t="str">
        <f ca="1">IF(ZahlungsZeitplan[[#This Row],['#]]&lt;=($D$8*12),IF(ZahlungsZeitplan[[#This Row],['#]]&lt;&gt;"",ZahlungsZeitplan[[#This Row],[ANFANGSSALDO]]*(ZinsSatz/ZahlungenProJahr),""),IF(ZahlungsZeitplan[[#This Row],['#]]&lt;&gt;"",ZahlungsZeitplan[[#This Row],[ANFANGSSALDO]]*((ZinsSatz+$D$9)/ZahlungenProJahr),""))</f>
        <v/>
      </c>
      <c r="J299" s="195" t="str">
        <f ca="1">IF(ZahlungsZeitplan[[#This Row],['#]]&lt;&gt;"",IF(ZahlungsZeitplan[[#This Row],[Zahlungen (Plan)]]+ZahlungsZeitplan[[#This Row],[SONDERZAHLUNG]]&lt;=ZahlungsZeitplan[[#This Row],[ANFANGSSALDO]],ZahlungsZeitplan[[#This Row],[ANFANGSSALDO]]-ZahlungsZeitplan[[#This Row],[KAPITAL]],0),"")</f>
        <v/>
      </c>
      <c r="K299" s="195" t="str">
        <f ca="1">IF(ZahlungsZeitplan[[#This Row],['#]]&lt;&gt;"",SUM(INDEX(ZahlungsZeitplan[ZINSEN],1,1):ZahlungsZeitplan[[#This Row],[ZINSEN]]),"")</f>
        <v/>
      </c>
    </row>
    <row r="300" spans="2:11">
      <c r="B300" s="193" t="str">
        <f ca="1">IF(DarlehenIstGut,IF(ROW()-ROW(ZahlungsZeitplan[[#Headers],['#]])&gt;PlanmäßigeAnzahlZahlungen,"",ROW()-ROW(ZahlungsZeitplan[[#Headers],['#]])),"")</f>
        <v/>
      </c>
      <c r="C300" s="194" t="str">
        <f ca="1">IF(ZahlungsZeitplan[[#This Row],['#]]&lt;&gt;"",EOMONTH(DarlehensAnfangsDatum,ROW(ZahlungsZeitplan[[#This Row],['#]])-ROW(ZahlungsZeitplan[[#Headers],['#]])-2)+DAY(DarlehensAnfangsDatum),"")</f>
        <v/>
      </c>
      <c r="D300" s="195" t="str">
        <f ca="1">IF(ZahlungsZeitplan[[#This Row],['#]]&lt;&gt;"",IF(ROW()-ROW(ZahlungsZeitplan[[#Headers],[ANFANGSSALDO]])=1,DarlehensBetrag,INDEX(ZahlungsZeitplan[ENDSALDO],ROW()-ROW(ZahlungsZeitplan[[#Headers],[ANFANGSSALDO]])-1)),"")</f>
        <v/>
      </c>
      <c r="E300" s="195" t="str">
        <f ca="1">IF(ZahlungsZeitplan[[#This Row],['#]]&lt;&gt;"",PlanmäßigeZahlung,"")</f>
        <v/>
      </c>
      <c r="F30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0" s="195" t="str">
        <f ca="1">IF(ZahlungsZeitplan[[#This Row],['#]]&lt;&gt;"",ZahlungsZeitplan[[#This Row],[GESAMTZAHLUNG]]-ZahlungsZeitplan[[#This Row],[ZINSEN]],"")</f>
        <v/>
      </c>
      <c r="I300" s="195" t="str">
        <f ca="1">IF(ZahlungsZeitplan[[#This Row],['#]]&lt;=($D$8*12),IF(ZahlungsZeitplan[[#This Row],['#]]&lt;&gt;"",ZahlungsZeitplan[[#This Row],[ANFANGSSALDO]]*(ZinsSatz/ZahlungenProJahr),""),IF(ZahlungsZeitplan[[#This Row],['#]]&lt;&gt;"",ZahlungsZeitplan[[#This Row],[ANFANGSSALDO]]*((ZinsSatz+$D$9)/ZahlungenProJahr),""))</f>
        <v/>
      </c>
      <c r="J300" s="195" t="str">
        <f ca="1">IF(ZahlungsZeitplan[[#This Row],['#]]&lt;&gt;"",IF(ZahlungsZeitplan[[#This Row],[Zahlungen (Plan)]]+ZahlungsZeitplan[[#This Row],[SONDERZAHLUNG]]&lt;=ZahlungsZeitplan[[#This Row],[ANFANGSSALDO]],ZahlungsZeitplan[[#This Row],[ANFANGSSALDO]]-ZahlungsZeitplan[[#This Row],[KAPITAL]],0),"")</f>
        <v/>
      </c>
      <c r="K300" s="195" t="str">
        <f ca="1">IF(ZahlungsZeitplan[[#This Row],['#]]&lt;&gt;"",SUM(INDEX(ZahlungsZeitplan[ZINSEN],1,1):ZahlungsZeitplan[[#This Row],[ZINSEN]]),"")</f>
        <v/>
      </c>
    </row>
    <row r="301" spans="2:11">
      <c r="B301" s="193" t="str">
        <f ca="1">IF(DarlehenIstGut,IF(ROW()-ROW(ZahlungsZeitplan[[#Headers],['#]])&gt;PlanmäßigeAnzahlZahlungen,"",ROW()-ROW(ZahlungsZeitplan[[#Headers],['#]])),"")</f>
        <v/>
      </c>
      <c r="C301" s="194" t="str">
        <f ca="1">IF(ZahlungsZeitplan[[#This Row],['#]]&lt;&gt;"",EOMONTH(DarlehensAnfangsDatum,ROW(ZahlungsZeitplan[[#This Row],['#]])-ROW(ZahlungsZeitplan[[#Headers],['#]])-2)+DAY(DarlehensAnfangsDatum),"")</f>
        <v/>
      </c>
      <c r="D301" s="195" t="str">
        <f ca="1">IF(ZahlungsZeitplan[[#This Row],['#]]&lt;&gt;"",IF(ROW()-ROW(ZahlungsZeitplan[[#Headers],[ANFANGSSALDO]])=1,DarlehensBetrag,INDEX(ZahlungsZeitplan[ENDSALDO],ROW()-ROW(ZahlungsZeitplan[[#Headers],[ANFANGSSALDO]])-1)),"")</f>
        <v/>
      </c>
      <c r="E301" s="195" t="str">
        <f ca="1">IF(ZahlungsZeitplan[[#This Row],['#]]&lt;&gt;"",PlanmäßigeZahlung,"")</f>
        <v/>
      </c>
      <c r="F30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1" s="195" t="str">
        <f ca="1">IF(ZahlungsZeitplan[[#This Row],['#]]&lt;&gt;"",ZahlungsZeitplan[[#This Row],[GESAMTZAHLUNG]]-ZahlungsZeitplan[[#This Row],[ZINSEN]],"")</f>
        <v/>
      </c>
      <c r="I301" s="195" t="str">
        <f ca="1">IF(ZahlungsZeitplan[[#This Row],['#]]&lt;=($D$8*12),IF(ZahlungsZeitplan[[#This Row],['#]]&lt;&gt;"",ZahlungsZeitplan[[#This Row],[ANFANGSSALDO]]*(ZinsSatz/ZahlungenProJahr),""),IF(ZahlungsZeitplan[[#This Row],['#]]&lt;&gt;"",ZahlungsZeitplan[[#This Row],[ANFANGSSALDO]]*((ZinsSatz+$D$9)/ZahlungenProJahr),""))</f>
        <v/>
      </c>
      <c r="J301" s="195" t="str">
        <f ca="1">IF(ZahlungsZeitplan[[#This Row],['#]]&lt;&gt;"",IF(ZahlungsZeitplan[[#This Row],[Zahlungen (Plan)]]+ZahlungsZeitplan[[#This Row],[SONDERZAHLUNG]]&lt;=ZahlungsZeitplan[[#This Row],[ANFANGSSALDO]],ZahlungsZeitplan[[#This Row],[ANFANGSSALDO]]-ZahlungsZeitplan[[#This Row],[KAPITAL]],0),"")</f>
        <v/>
      </c>
      <c r="K301" s="195" t="str">
        <f ca="1">IF(ZahlungsZeitplan[[#This Row],['#]]&lt;&gt;"",SUM(INDEX(ZahlungsZeitplan[ZINSEN],1,1):ZahlungsZeitplan[[#This Row],[ZINSEN]]),"")</f>
        <v/>
      </c>
    </row>
    <row r="302" spans="2:11">
      <c r="B302" s="193" t="str">
        <f ca="1">IF(DarlehenIstGut,IF(ROW()-ROW(ZahlungsZeitplan[[#Headers],['#]])&gt;PlanmäßigeAnzahlZahlungen,"",ROW()-ROW(ZahlungsZeitplan[[#Headers],['#]])),"")</f>
        <v/>
      </c>
      <c r="C302" s="194" t="str">
        <f ca="1">IF(ZahlungsZeitplan[[#This Row],['#]]&lt;&gt;"",EOMONTH(DarlehensAnfangsDatum,ROW(ZahlungsZeitplan[[#This Row],['#]])-ROW(ZahlungsZeitplan[[#Headers],['#]])-2)+DAY(DarlehensAnfangsDatum),"")</f>
        <v/>
      </c>
      <c r="D302" s="195" t="str">
        <f ca="1">IF(ZahlungsZeitplan[[#This Row],['#]]&lt;&gt;"",IF(ROW()-ROW(ZahlungsZeitplan[[#Headers],[ANFANGSSALDO]])=1,DarlehensBetrag,INDEX(ZahlungsZeitplan[ENDSALDO],ROW()-ROW(ZahlungsZeitplan[[#Headers],[ANFANGSSALDO]])-1)),"")</f>
        <v/>
      </c>
      <c r="E302" s="195" t="str">
        <f ca="1">IF(ZahlungsZeitplan[[#This Row],['#]]&lt;&gt;"",PlanmäßigeZahlung,"")</f>
        <v/>
      </c>
      <c r="F30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2" s="195" t="str">
        <f ca="1">IF(ZahlungsZeitplan[[#This Row],['#]]&lt;&gt;"",ZahlungsZeitplan[[#This Row],[GESAMTZAHLUNG]]-ZahlungsZeitplan[[#This Row],[ZINSEN]],"")</f>
        <v/>
      </c>
      <c r="I302" s="195" t="str">
        <f ca="1">IF(ZahlungsZeitplan[[#This Row],['#]]&lt;=($D$8*12),IF(ZahlungsZeitplan[[#This Row],['#]]&lt;&gt;"",ZahlungsZeitplan[[#This Row],[ANFANGSSALDO]]*(ZinsSatz/ZahlungenProJahr),""),IF(ZahlungsZeitplan[[#This Row],['#]]&lt;&gt;"",ZahlungsZeitplan[[#This Row],[ANFANGSSALDO]]*((ZinsSatz+$D$9)/ZahlungenProJahr),""))</f>
        <v/>
      </c>
      <c r="J302" s="195" t="str">
        <f ca="1">IF(ZahlungsZeitplan[[#This Row],['#]]&lt;&gt;"",IF(ZahlungsZeitplan[[#This Row],[Zahlungen (Plan)]]+ZahlungsZeitplan[[#This Row],[SONDERZAHLUNG]]&lt;=ZahlungsZeitplan[[#This Row],[ANFANGSSALDO]],ZahlungsZeitplan[[#This Row],[ANFANGSSALDO]]-ZahlungsZeitplan[[#This Row],[KAPITAL]],0),"")</f>
        <v/>
      </c>
      <c r="K302" s="195" t="str">
        <f ca="1">IF(ZahlungsZeitplan[[#This Row],['#]]&lt;&gt;"",SUM(INDEX(ZahlungsZeitplan[ZINSEN],1,1):ZahlungsZeitplan[[#This Row],[ZINSEN]]),"")</f>
        <v/>
      </c>
    </row>
    <row r="303" spans="2:11">
      <c r="B303" s="193" t="str">
        <f ca="1">IF(DarlehenIstGut,IF(ROW()-ROW(ZahlungsZeitplan[[#Headers],['#]])&gt;PlanmäßigeAnzahlZahlungen,"",ROW()-ROW(ZahlungsZeitplan[[#Headers],['#]])),"")</f>
        <v/>
      </c>
      <c r="C303" s="194" t="str">
        <f ca="1">IF(ZahlungsZeitplan[[#This Row],['#]]&lt;&gt;"",EOMONTH(DarlehensAnfangsDatum,ROW(ZahlungsZeitplan[[#This Row],['#]])-ROW(ZahlungsZeitplan[[#Headers],['#]])-2)+DAY(DarlehensAnfangsDatum),"")</f>
        <v/>
      </c>
      <c r="D303" s="195" t="str">
        <f ca="1">IF(ZahlungsZeitplan[[#This Row],['#]]&lt;&gt;"",IF(ROW()-ROW(ZahlungsZeitplan[[#Headers],[ANFANGSSALDO]])=1,DarlehensBetrag,INDEX(ZahlungsZeitplan[ENDSALDO],ROW()-ROW(ZahlungsZeitplan[[#Headers],[ANFANGSSALDO]])-1)),"")</f>
        <v/>
      </c>
      <c r="E303" s="195" t="str">
        <f ca="1">IF(ZahlungsZeitplan[[#This Row],['#]]&lt;&gt;"",PlanmäßigeZahlung,"")</f>
        <v/>
      </c>
      <c r="F30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3" s="195" t="str">
        <f ca="1">IF(ZahlungsZeitplan[[#This Row],['#]]&lt;&gt;"",ZahlungsZeitplan[[#This Row],[GESAMTZAHLUNG]]-ZahlungsZeitplan[[#This Row],[ZINSEN]],"")</f>
        <v/>
      </c>
      <c r="I303" s="195" t="str">
        <f ca="1">IF(ZahlungsZeitplan[[#This Row],['#]]&lt;=($D$8*12),IF(ZahlungsZeitplan[[#This Row],['#]]&lt;&gt;"",ZahlungsZeitplan[[#This Row],[ANFANGSSALDO]]*(ZinsSatz/ZahlungenProJahr),""),IF(ZahlungsZeitplan[[#This Row],['#]]&lt;&gt;"",ZahlungsZeitplan[[#This Row],[ANFANGSSALDO]]*((ZinsSatz+$D$9)/ZahlungenProJahr),""))</f>
        <v/>
      </c>
      <c r="J303" s="195" t="str">
        <f ca="1">IF(ZahlungsZeitplan[[#This Row],['#]]&lt;&gt;"",IF(ZahlungsZeitplan[[#This Row],[Zahlungen (Plan)]]+ZahlungsZeitplan[[#This Row],[SONDERZAHLUNG]]&lt;=ZahlungsZeitplan[[#This Row],[ANFANGSSALDO]],ZahlungsZeitplan[[#This Row],[ANFANGSSALDO]]-ZahlungsZeitplan[[#This Row],[KAPITAL]],0),"")</f>
        <v/>
      </c>
      <c r="K303" s="195" t="str">
        <f ca="1">IF(ZahlungsZeitplan[[#This Row],['#]]&lt;&gt;"",SUM(INDEX(ZahlungsZeitplan[ZINSEN],1,1):ZahlungsZeitplan[[#This Row],[ZINSEN]]),"")</f>
        <v/>
      </c>
    </row>
    <row r="304" spans="2:11">
      <c r="B304" s="193" t="str">
        <f ca="1">IF(DarlehenIstGut,IF(ROW()-ROW(ZahlungsZeitplan[[#Headers],['#]])&gt;PlanmäßigeAnzahlZahlungen,"",ROW()-ROW(ZahlungsZeitplan[[#Headers],['#]])),"")</f>
        <v/>
      </c>
      <c r="C304" s="194" t="str">
        <f ca="1">IF(ZahlungsZeitplan[[#This Row],['#]]&lt;&gt;"",EOMONTH(DarlehensAnfangsDatum,ROW(ZahlungsZeitplan[[#This Row],['#]])-ROW(ZahlungsZeitplan[[#Headers],['#]])-2)+DAY(DarlehensAnfangsDatum),"")</f>
        <v/>
      </c>
      <c r="D304" s="195" t="str">
        <f ca="1">IF(ZahlungsZeitplan[[#This Row],['#]]&lt;&gt;"",IF(ROW()-ROW(ZahlungsZeitplan[[#Headers],[ANFANGSSALDO]])=1,DarlehensBetrag,INDEX(ZahlungsZeitplan[ENDSALDO],ROW()-ROW(ZahlungsZeitplan[[#Headers],[ANFANGSSALDO]])-1)),"")</f>
        <v/>
      </c>
      <c r="E304" s="195" t="str">
        <f ca="1">IF(ZahlungsZeitplan[[#This Row],['#]]&lt;&gt;"",PlanmäßigeZahlung,"")</f>
        <v/>
      </c>
      <c r="F30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4" s="195" t="str">
        <f ca="1">IF(ZahlungsZeitplan[[#This Row],['#]]&lt;&gt;"",ZahlungsZeitplan[[#This Row],[GESAMTZAHLUNG]]-ZahlungsZeitplan[[#This Row],[ZINSEN]],"")</f>
        <v/>
      </c>
      <c r="I304" s="195" t="str">
        <f ca="1">IF(ZahlungsZeitplan[[#This Row],['#]]&lt;=($D$8*12),IF(ZahlungsZeitplan[[#This Row],['#]]&lt;&gt;"",ZahlungsZeitplan[[#This Row],[ANFANGSSALDO]]*(ZinsSatz/ZahlungenProJahr),""),IF(ZahlungsZeitplan[[#This Row],['#]]&lt;&gt;"",ZahlungsZeitplan[[#This Row],[ANFANGSSALDO]]*((ZinsSatz+$D$9)/ZahlungenProJahr),""))</f>
        <v/>
      </c>
      <c r="J304" s="195" t="str">
        <f ca="1">IF(ZahlungsZeitplan[[#This Row],['#]]&lt;&gt;"",IF(ZahlungsZeitplan[[#This Row],[Zahlungen (Plan)]]+ZahlungsZeitplan[[#This Row],[SONDERZAHLUNG]]&lt;=ZahlungsZeitplan[[#This Row],[ANFANGSSALDO]],ZahlungsZeitplan[[#This Row],[ANFANGSSALDO]]-ZahlungsZeitplan[[#This Row],[KAPITAL]],0),"")</f>
        <v/>
      </c>
      <c r="K304" s="195" t="str">
        <f ca="1">IF(ZahlungsZeitplan[[#This Row],['#]]&lt;&gt;"",SUM(INDEX(ZahlungsZeitplan[ZINSEN],1,1):ZahlungsZeitplan[[#This Row],[ZINSEN]]),"")</f>
        <v/>
      </c>
    </row>
    <row r="305" spans="2:11">
      <c r="B305" s="193" t="str">
        <f ca="1">IF(DarlehenIstGut,IF(ROW()-ROW(ZahlungsZeitplan[[#Headers],['#]])&gt;PlanmäßigeAnzahlZahlungen,"",ROW()-ROW(ZahlungsZeitplan[[#Headers],['#]])),"")</f>
        <v/>
      </c>
      <c r="C305" s="194" t="str">
        <f ca="1">IF(ZahlungsZeitplan[[#This Row],['#]]&lt;&gt;"",EOMONTH(DarlehensAnfangsDatum,ROW(ZahlungsZeitplan[[#This Row],['#]])-ROW(ZahlungsZeitplan[[#Headers],['#]])-2)+DAY(DarlehensAnfangsDatum),"")</f>
        <v/>
      </c>
      <c r="D305" s="195" t="str">
        <f ca="1">IF(ZahlungsZeitplan[[#This Row],['#]]&lt;&gt;"",IF(ROW()-ROW(ZahlungsZeitplan[[#Headers],[ANFANGSSALDO]])=1,DarlehensBetrag,INDEX(ZahlungsZeitplan[ENDSALDO],ROW()-ROW(ZahlungsZeitplan[[#Headers],[ANFANGSSALDO]])-1)),"")</f>
        <v/>
      </c>
      <c r="E305" s="195" t="str">
        <f ca="1">IF(ZahlungsZeitplan[[#This Row],['#]]&lt;&gt;"",PlanmäßigeZahlung,"")</f>
        <v/>
      </c>
      <c r="F30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5" s="195" t="str">
        <f ca="1">IF(ZahlungsZeitplan[[#This Row],['#]]&lt;&gt;"",ZahlungsZeitplan[[#This Row],[GESAMTZAHLUNG]]-ZahlungsZeitplan[[#This Row],[ZINSEN]],"")</f>
        <v/>
      </c>
      <c r="I305" s="195" t="str">
        <f ca="1">IF(ZahlungsZeitplan[[#This Row],['#]]&lt;=($D$8*12),IF(ZahlungsZeitplan[[#This Row],['#]]&lt;&gt;"",ZahlungsZeitplan[[#This Row],[ANFANGSSALDO]]*(ZinsSatz/ZahlungenProJahr),""),IF(ZahlungsZeitplan[[#This Row],['#]]&lt;&gt;"",ZahlungsZeitplan[[#This Row],[ANFANGSSALDO]]*((ZinsSatz+$D$9)/ZahlungenProJahr),""))</f>
        <v/>
      </c>
      <c r="J305" s="195" t="str">
        <f ca="1">IF(ZahlungsZeitplan[[#This Row],['#]]&lt;&gt;"",IF(ZahlungsZeitplan[[#This Row],[Zahlungen (Plan)]]+ZahlungsZeitplan[[#This Row],[SONDERZAHLUNG]]&lt;=ZahlungsZeitplan[[#This Row],[ANFANGSSALDO]],ZahlungsZeitplan[[#This Row],[ANFANGSSALDO]]-ZahlungsZeitplan[[#This Row],[KAPITAL]],0),"")</f>
        <v/>
      </c>
      <c r="K305" s="195" t="str">
        <f ca="1">IF(ZahlungsZeitplan[[#This Row],['#]]&lt;&gt;"",SUM(INDEX(ZahlungsZeitplan[ZINSEN],1,1):ZahlungsZeitplan[[#This Row],[ZINSEN]]),"")</f>
        <v/>
      </c>
    </row>
    <row r="306" spans="2:11">
      <c r="B306" s="193" t="str">
        <f ca="1">IF(DarlehenIstGut,IF(ROW()-ROW(ZahlungsZeitplan[[#Headers],['#]])&gt;PlanmäßigeAnzahlZahlungen,"",ROW()-ROW(ZahlungsZeitplan[[#Headers],['#]])),"")</f>
        <v/>
      </c>
      <c r="C306" s="194" t="str">
        <f ca="1">IF(ZahlungsZeitplan[[#This Row],['#]]&lt;&gt;"",EOMONTH(DarlehensAnfangsDatum,ROW(ZahlungsZeitplan[[#This Row],['#]])-ROW(ZahlungsZeitplan[[#Headers],['#]])-2)+DAY(DarlehensAnfangsDatum),"")</f>
        <v/>
      </c>
      <c r="D306" s="195" t="str">
        <f ca="1">IF(ZahlungsZeitplan[[#This Row],['#]]&lt;&gt;"",IF(ROW()-ROW(ZahlungsZeitplan[[#Headers],[ANFANGSSALDO]])=1,DarlehensBetrag,INDEX(ZahlungsZeitplan[ENDSALDO],ROW()-ROW(ZahlungsZeitplan[[#Headers],[ANFANGSSALDO]])-1)),"")</f>
        <v/>
      </c>
      <c r="E306" s="195" t="str">
        <f ca="1">IF(ZahlungsZeitplan[[#This Row],['#]]&lt;&gt;"",PlanmäßigeZahlung,"")</f>
        <v/>
      </c>
      <c r="F30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6" s="195" t="str">
        <f ca="1">IF(ZahlungsZeitplan[[#This Row],['#]]&lt;&gt;"",ZahlungsZeitplan[[#This Row],[GESAMTZAHLUNG]]-ZahlungsZeitplan[[#This Row],[ZINSEN]],"")</f>
        <v/>
      </c>
      <c r="I306" s="195" t="str">
        <f ca="1">IF(ZahlungsZeitplan[[#This Row],['#]]&lt;=($D$8*12),IF(ZahlungsZeitplan[[#This Row],['#]]&lt;&gt;"",ZahlungsZeitplan[[#This Row],[ANFANGSSALDO]]*(ZinsSatz/ZahlungenProJahr),""),IF(ZahlungsZeitplan[[#This Row],['#]]&lt;&gt;"",ZahlungsZeitplan[[#This Row],[ANFANGSSALDO]]*((ZinsSatz+$D$9)/ZahlungenProJahr),""))</f>
        <v/>
      </c>
      <c r="J306" s="195" t="str">
        <f ca="1">IF(ZahlungsZeitplan[[#This Row],['#]]&lt;&gt;"",IF(ZahlungsZeitplan[[#This Row],[Zahlungen (Plan)]]+ZahlungsZeitplan[[#This Row],[SONDERZAHLUNG]]&lt;=ZahlungsZeitplan[[#This Row],[ANFANGSSALDO]],ZahlungsZeitplan[[#This Row],[ANFANGSSALDO]]-ZahlungsZeitplan[[#This Row],[KAPITAL]],0),"")</f>
        <v/>
      </c>
      <c r="K306" s="195" t="str">
        <f ca="1">IF(ZahlungsZeitplan[[#This Row],['#]]&lt;&gt;"",SUM(INDEX(ZahlungsZeitplan[ZINSEN],1,1):ZahlungsZeitplan[[#This Row],[ZINSEN]]),"")</f>
        <v/>
      </c>
    </row>
    <row r="307" spans="2:11">
      <c r="B307" s="193" t="str">
        <f ca="1">IF(DarlehenIstGut,IF(ROW()-ROW(ZahlungsZeitplan[[#Headers],['#]])&gt;PlanmäßigeAnzahlZahlungen,"",ROW()-ROW(ZahlungsZeitplan[[#Headers],['#]])),"")</f>
        <v/>
      </c>
      <c r="C307" s="194" t="str">
        <f ca="1">IF(ZahlungsZeitplan[[#This Row],['#]]&lt;&gt;"",EOMONTH(DarlehensAnfangsDatum,ROW(ZahlungsZeitplan[[#This Row],['#]])-ROW(ZahlungsZeitplan[[#Headers],['#]])-2)+DAY(DarlehensAnfangsDatum),"")</f>
        <v/>
      </c>
      <c r="D307" s="195" t="str">
        <f ca="1">IF(ZahlungsZeitplan[[#This Row],['#]]&lt;&gt;"",IF(ROW()-ROW(ZahlungsZeitplan[[#Headers],[ANFANGSSALDO]])=1,DarlehensBetrag,INDEX(ZahlungsZeitplan[ENDSALDO],ROW()-ROW(ZahlungsZeitplan[[#Headers],[ANFANGSSALDO]])-1)),"")</f>
        <v/>
      </c>
      <c r="E307" s="195" t="str">
        <f ca="1">IF(ZahlungsZeitplan[[#This Row],['#]]&lt;&gt;"",PlanmäßigeZahlung,"")</f>
        <v/>
      </c>
      <c r="F30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7" s="195" t="str">
        <f ca="1">IF(ZahlungsZeitplan[[#This Row],['#]]&lt;&gt;"",ZahlungsZeitplan[[#This Row],[GESAMTZAHLUNG]]-ZahlungsZeitplan[[#This Row],[ZINSEN]],"")</f>
        <v/>
      </c>
      <c r="I307" s="195" t="str">
        <f ca="1">IF(ZahlungsZeitplan[[#This Row],['#]]&lt;=($D$8*12),IF(ZahlungsZeitplan[[#This Row],['#]]&lt;&gt;"",ZahlungsZeitplan[[#This Row],[ANFANGSSALDO]]*(ZinsSatz/ZahlungenProJahr),""),IF(ZahlungsZeitplan[[#This Row],['#]]&lt;&gt;"",ZahlungsZeitplan[[#This Row],[ANFANGSSALDO]]*((ZinsSatz+$D$9)/ZahlungenProJahr),""))</f>
        <v/>
      </c>
      <c r="J307" s="195" t="str">
        <f ca="1">IF(ZahlungsZeitplan[[#This Row],['#]]&lt;&gt;"",IF(ZahlungsZeitplan[[#This Row],[Zahlungen (Plan)]]+ZahlungsZeitplan[[#This Row],[SONDERZAHLUNG]]&lt;=ZahlungsZeitplan[[#This Row],[ANFANGSSALDO]],ZahlungsZeitplan[[#This Row],[ANFANGSSALDO]]-ZahlungsZeitplan[[#This Row],[KAPITAL]],0),"")</f>
        <v/>
      </c>
      <c r="K307" s="195" t="str">
        <f ca="1">IF(ZahlungsZeitplan[[#This Row],['#]]&lt;&gt;"",SUM(INDEX(ZahlungsZeitplan[ZINSEN],1,1):ZahlungsZeitplan[[#This Row],[ZINSEN]]),"")</f>
        <v/>
      </c>
    </row>
    <row r="308" spans="2:11">
      <c r="B308" s="193" t="str">
        <f ca="1">IF(DarlehenIstGut,IF(ROW()-ROW(ZahlungsZeitplan[[#Headers],['#]])&gt;PlanmäßigeAnzahlZahlungen,"",ROW()-ROW(ZahlungsZeitplan[[#Headers],['#]])),"")</f>
        <v/>
      </c>
      <c r="C308" s="194" t="str">
        <f ca="1">IF(ZahlungsZeitplan[[#This Row],['#]]&lt;&gt;"",EOMONTH(DarlehensAnfangsDatum,ROW(ZahlungsZeitplan[[#This Row],['#]])-ROW(ZahlungsZeitplan[[#Headers],['#]])-2)+DAY(DarlehensAnfangsDatum),"")</f>
        <v/>
      </c>
      <c r="D308" s="195" t="str">
        <f ca="1">IF(ZahlungsZeitplan[[#This Row],['#]]&lt;&gt;"",IF(ROW()-ROW(ZahlungsZeitplan[[#Headers],[ANFANGSSALDO]])=1,DarlehensBetrag,INDEX(ZahlungsZeitplan[ENDSALDO],ROW()-ROW(ZahlungsZeitplan[[#Headers],[ANFANGSSALDO]])-1)),"")</f>
        <v/>
      </c>
      <c r="E308" s="195" t="str">
        <f ca="1">IF(ZahlungsZeitplan[[#This Row],['#]]&lt;&gt;"",PlanmäßigeZahlung,"")</f>
        <v/>
      </c>
      <c r="F30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8" s="195" t="str">
        <f ca="1">IF(ZahlungsZeitplan[[#This Row],['#]]&lt;&gt;"",ZahlungsZeitplan[[#This Row],[GESAMTZAHLUNG]]-ZahlungsZeitplan[[#This Row],[ZINSEN]],"")</f>
        <v/>
      </c>
      <c r="I308" s="195" t="str">
        <f ca="1">IF(ZahlungsZeitplan[[#This Row],['#]]&lt;=($D$8*12),IF(ZahlungsZeitplan[[#This Row],['#]]&lt;&gt;"",ZahlungsZeitplan[[#This Row],[ANFANGSSALDO]]*(ZinsSatz/ZahlungenProJahr),""),IF(ZahlungsZeitplan[[#This Row],['#]]&lt;&gt;"",ZahlungsZeitplan[[#This Row],[ANFANGSSALDO]]*((ZinsSatz+$D$9)/ZahlungenProJahr),""))</f>
        <v/>
      </c>
      <c r="J308" s="195" t="str">
        <f ca="1">IF(ZahlungsZeitplan[[#This Row],['#]]&lt;&gt;"",IF(ZahlungsZeitplan[[#This Row],[Zahlungen (Plan)]]+ZahlungsZeitplan[[#This Row],[SONDERZAHLUNG]]&lt;=ZahlungsZeitplan[[#This Row],[ANFANGSSALDO]],ZahlungsZeitplan[[#This Row],[ANFANGSSALDO]]-ZahlungsZeitplan[[#This Row],[KAPITAL]],0),"")</f>
        <v/>
      </c>
      <c r="K308" s="195" t="str">
        <f ca="1">IF(ZahlungsZeitplan[[#This Row],['#]]&lt;&gt;"",SUM(INDEX(ZahlungsZeitplan[ZINSEN],1,1):ZahlungsZeitplan[[#This Row],[ZINSEN]]),"")</f>
        <v/>
      </c>
    </row>
    <row r="309" spans="2:11">
      <c r="B309" s="193" t="str">
        <f ca="1">IF(DarlehenIstGut,IF(ROW()-ROW(ZahlungsZeitplan[[#Headers],['#]])&gt;PlanmäßigeAnzahlZahlungen,"",ROW()-ROW(ZahlungsZeitplan[[#Headers],['#]])),"")</f>
        <v/>
      </c>
      <c r="C309" s="194" t="str">
        <f ca="1">IF(ZahlungsZeitplan[[#This Row],['#]]&lt;&gt;"",EOMONTH(DarlehensAnfangsDatum,ROW(ZahlungsZeitplan[[#This Row],['#]])-ROW(ZahlungsZeitplan[[#Headers],['#]])-2)+DAY(DarlehensAnfangsDatum),"")</f>
        <v/>
      </c>
      <c r="D309" s="195" t="str">
        <f ca="1">IF(ZahlungsZeitplan[[#This Row],['#]]&lt;&gt;"",IF(ROW()-ROW(ZahlungsZeitplan[[#Headers],[ANFANGSSALDO]])=1,DarlehensBetrag,INDEX(ZahlungsZeitplan[ENDSALDO],ROW()-ROW(ZahlungsZeitplan[[#Headers],[ANFANGSSALDO]])-1)),"")</f>
        <v/>
      </c>
      <c r="E309" s="195" t="str">
        <f ca="1">IF(ZahlungsZeitplan[[#This Row],['#]]&lt;&gt;"",PlanmäßigeZahlung,"")</f>
        <v/>
      </c>
      <c r="F30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0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09" s="195" t="str">
        <f ca="1">IF(ZahlungsZeitplan[[#This Row],['#]]&lt;&gt;"",ZahlungsZeitplan[[#This Row],[GESAMTZAHLUNG]]-ZahlungsZeitplan[[#This Row],[ZINSEN]],"")</f>
        <v/>
      </c>
      <c r="I309" s="195" t="str">
        <f ca="1">IF(ZahlungsZeitplan[[#This Row],['#]]&lt;=($D$8*12),IF(ZahlungsZeitplan[[#This Row],['#]]&lt;&gt;"",ZahlungsZeitplan[[#This Row],[ANFANGSSALDO]]*(ZinsSatz/ZahlungenProJahr),""),IF(ZahlungsZeitplan[[#This Row],['#]]&lt;&gt;"",ZahlungsZeitplan[[#This Row],[ANFANGSSALDO]]*((ZinsSatz+$D$9)/ZahlungenProJahr),""))</f>
        <v/>
      </c>
      <c r="J309" s="195" t="str">
        <f ca="1">IF(ZahlungsZeitplan[[#This Row],['#]]&lt;&gt;"",IF(ZahlungsZeitplan[[#This Row],[Zahlungen (Plan)]]+ZahlungsZeitplan[[#This Row],[SONDERZAHLUNG]]&lt;=ZahlungsZeitplan[[#This Row],[ANFANGSSALDO]],ZahlungsZeitplan[[#This Row],[ANFANGSSALDO]]-ZahlungsZeitplan[[#This Row],[KAPITAL]],0),"")</f>
        <v/>
      </c>
      <c r="K309" s="195" t="str">
        <f ca="1">IF(ZahlungsZeitplan[[#This Row],['#]]&lt;&gt;"",SUM(INDEX(ZahlungsZeitplan[ZINSEN],1,1):ZahlungsZeitplan[[#This Row],[ZINSEN]]),"")</f>
        <v/>
      </c>
    </row>
    <row r="310" spans="2:11">
      <c r="B310" s="193" t="str">
        <f ca="1">IF(DarlehenIstGut,IF(ROW()-ROW(ZahlungsZeitplan[[#Headers],['#]])&gt;PlanmäßigeAnzahlZahlungen,"",ROW()-ROW(ZahlungsZeitplan[[#Headers],['#]])),"")</f>
        <v/>
      </c>
      <c r="C310" s="194" t="str">
        <f ca="1">IF(ZahlungsZeitplan[[#This Row],['#]]&lt;&gt;"",EOMONTH(DarlehensAnfangsDatum,ROW(ZahlungsZeitplan[[#This Row],['#]])-ROW(ZahlungsZeitplan[[#Headers],['#]])-2)+DAY(DarlehensAnfangsDatum),"")</f>
        <v/>
      </c>
      <c r="D310" s="195" t="str">
        <f ca="1">IF(ZahlungsZeitplan[[#This Row],['#]]&lt;&gt;"",IF(ROW()-ROW(ZahlungsZeitplan[[#Headers],[ANFANGSSALDO]])=1,DarlehensBetrag,INDEX(ZahlungsZeitplan[ENDSALDO],ROW()-ROW(ZahlungsZeitplan[[#Headers],[ANFANGSSALDO]])-1)),"")</f>
        <v/>
      </c>
      <c r="E310" s="195" t="str">
        <f ca="1">IF(ZahlungsZeitplan[[#This Row],['#]]&lt;&gt;"",PlanmäßigeZahlung,"")</f>
        <v/>
      </c>
      <c r="F31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0" s="195" t="str">
        <f ca="1">IF(ZahlungsZeitplan[[#This Row],['#]]&lt;&gt;"",ZahlungsZeitplan[[#This Row],[GESAMTZAHLUNG]]-ZahlungsZeitplan[[#This Row],[ZINSEN]],"")</f>
        <v/>
      </c>
      <c r="I310" s="195" t="str">
        <f ca="1">IF(ZahlungsZeitplan[[#This Row],['#]]&lt;=($D$8*12),IF(ZahlungsZeitplan[[#This Row],['#]]&lt;&gt;"",ZahlungsZeitplan[[#This Row],[ANFANGSSALDO]]*(ZinsSatz/ZahlungenProJahr),""),IF(ZahlungsZeitplan[[#This Row],['#]]&lt;&gt;"",ZahlungsZeitplan[[#This Row],[ANFANGSSALDO]]*((ZinsSatz+$D$9)/ZahlungenProJahr),""))</f>
        <v/>
      </c>
      <c r="J310" s="195" t="str">
        <f ca="1">IF(ZahlungsZeitplan[[#This Row],['#]]&lt;&gt;"",IF(ZahlungsZeitplan[[#This Row],[Zahlungen (Plan)]]+ZahlungsZeitplan[[#This Row],[SONDERZAHLUNG]]&lt;=ZahlungsZeitplan[[#This Row],[ANFANGSSALDO]],ZahlungsZeitplan[[#This Row],[ANFANGSSALDO]]-ZahlungsZeitplan[[#This Row],[KAPITAL]],0),"")</f>
        <v/>
      </c>
      <c r="K310" s="195" t="str">
        <f ca="1">IF(ZahlungsZeitplan[[#This Row],['#]]&lt;&gt;"",SUM(INDEX(ZahlungsZeitplan[ZINSEN],1,1):ZahlungsZeitplan[[#This Row],[ZINSEN]]),"")</f>
        <v/>
      </c>
    </row>
    <row r="311" spans="2:11">
      <c r="B311" s="193" t="str">
        <f ca="1">IF(DarlehenIstGut,IF(ROW()-ROW(ZahlungsZeitplan[[#Headers],['#]])&gt;PlanmäßigeAnzahlZahlungen,"",ROW()-ROW(ZahlungsZeitplan[[#Headers],['#]])),"")</f>
        <v/>
      </c>
      <c r="C311" s="194" t="str">
        <f ca="1">IF(ZahlungsZeitplan[[#This Row],['#]]&lt;&gt;"",EOMONTH(DarlehensAnfangsDatum,ROW(ZahlungsZeitplan[[#This Row],['#]])-ROW(ZahlungsZeitplan[[#Headers],['#]])-2)+DAY(DarlehensAnfangsDatum),"")</f>
        <v/>
      </c>
      <c r="D311" s="195" t="str">
        <f ca="1">IF(ZahlungsZeitplan[[#This Row],['#]]&lt;&gt;"",IF(ROW()-ROW(ZahlungsZeitplan[[#Headers],[ANFANGSSALDO]])=1,DarlehensBetrag,INDEX(ZahlungsZeitplan[ENDSALDO],ROW()-ROW(ZahlungsZeitplan[[#Headers],[ANFANGSSALDO]])-1)),"")</f>
        <v/>
      </c>
      <c r="E311" s="195" t="str">
        <f ca="1">IF(ZahlungsZeitplan[[#This Row],['#]]&lt;&gt;"",PlanmäßigeZahlung,"")</f>
        <v/>
      </c>
      <c r="F31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1" s="195" t="str">
        <f ca="1">IF(ZahlungsZeitplan[[#This Row],['#]]&lt;&gt;"",ZahlungsZeitplan[[#This Row],[GESAMTZAHLUNG]]-ZahlungsZeitplan[[#This Row],[ZINSEN]],"")</f>
        <v/>
      </c>
      <c r="I311" s="195" t="str">
        <f ca="1">IF(ZahlungsZeitplan[[#This Row],['#]]&lt;=($D$8*12),IF(ZahlungsZeitplan[[#This Row],['#]]&lt;&gt;"",ZahlungsZeitplan[[#This Row],[ANFANGSSALDO]]*(ZinsSatz/ZahlungenProJahr),""),IF(ZahlungsZeitplan[[#This Row],['#]]&lt;&gt;"",ZahlungsZeitplan[[#This Row],[ANFANGSSALDO]]*((ZinsSatz+$D$9)/ZahlungenProJahr),""))</f>
        <v/>
      </c>
      <c r="J311" s="195" t="str">
        <f ca="1">IF(ZahlungsZeitplan[[#This Row],['#]]&lt;&gt;"",IF(ZahlungsZeitplan[[#This Row],[Zahlungen (Plan)]]+ZahlungsZeitplan[[#This Row],[SONDERZAHLUNG]]&lt;=ZahlungsZeitplan[[#This Row],[ANFANGSSALDO]],ZahlungsZeitplan[[#This Row],[ANFANGSSALDO]]-ZahlungsZeitplan[[#This Row],[KAPITAL]],0),"")</f>
        <v/>
      </c>
      <c r="K311" s="195" t="str">
        <f ca="1">IF(ZahlungsZeitplan[[#This Row],['#]]&lt;&gt;"",SUM(INDEX(ZahlungsZeitplan[ZINSEN],1,1):ZahlungsZeitplan[[#This Row],[ZINSEN]]),"")</f>
        <v/>
      </c>
    </row>
    <row r="312" spans="2:11">
      <c r="B312" s="193" t="str">
        <f ca="1">IF(DarlehenIstGut,IF(ROW()-ROW(ZahlungsZeitplan[[#Headers],['#]])&gt;PlanmäßigeAnzahlZahlungen,"",ROW()-ROW(ZahlungsZeitplan[[#Headers],['#]])),"")</f>
        <v/>
      </c>
      <c r="C312" s="194" t="str">
        <f ca="1">IF(ZahlungsZeitplan[[#This Row],['#]]&lt;&gt;"",EOMONTH(DarlehensAnfangsDatum,ROW(ZahlungsZeitplan[[#This Row],['#]])-ROW(ZahlungsZeitplan[[#Headers],['#]])-2)+DAY(DarlehensAnfangsDatum),"")</f>
        <v/>
      </c>
      <c r="D312" s="195" t="str">
        <f ca="1">IF(ZahlungsZeitplan[[#This Row],['#]]&lt;&gt;"",IF(ROW()-ROW(ZahlungsZeitplan[[#Headers],[ANFANGSSALDO]])=1,DarlehensBetrag,INDEX(ZahlungsZeitplan[ENDSALDO],ROW()-ROW(ZahlungsZeitplan[[#Headers],[ANFANGSSALDO]])-1)),"")</f>
        <v/>
      </c>
      <c r="E312" s="195" t="str">
        <f ca="1">IF(ZahlungsZeitplan[[#This Row],['#]]&lt;&gt;"",PlanmäßigeZahlung,"")</f>
        <v/>
      </c>
      <c r="F31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2" s="195" t="str">
        <f ca="1">IF(ZahlungsZeitplan[[#This Row],['#]]&lt;&gt;"",ZahlungsZeitplan[[#This Row],[GESAMTZAHLUNG]]-ZahlungsZeitplan[[#This Row],[ZINSEN]],"")</f>
        <v/>
      </c>
      <c r="I312" s="195" t="str">
        <f ca="1">IF(ZahlungsZeitplan[[#This Row],['#]]&lt;=($D$8*12),IF(ZahlungsZeitplan[[#This Row],['#]]&lt;&gt;"",ZahlungsZeitplan[[#This Row],[ANFANGSSALDO]]*(ZinsSatz/ZahlungenProJahr),""),IF(ZahlungsZeitplan[[#This Row],['#]]&lt;&gt;"",ZahlungsZeitplan[[#This Row],[ANFANGSSALDO]]*((ZinsSatz+$D$9)/ZahlungenProJahr),""))</f>
        <v/>
      </c>
      <c r="J312" s="195" t="str">
        <f ca="1">IF(ZahlungsZeitplan[[#This Row],['#]]&lt;&gt;"",IF(ZahlungsZeitplan[[#This Row],[Zahlungen (Plan)]]+ZahlungsZeitplan[[#This Row],[SONDERZAHLUNG]]&lt;=ZahlungsZeitplan[[#This Row],[ANFANGSSALDO]],ZahlungsZeitplan[[#This Row],[ANFANGSSALDO]]-ZahlungsZeitplan[[#This Row],[KAPITAL]],0),"")</f>
        <v/>
      </c>
      <c r="K312" s="195" t="str">
        <f ca="1">IF(ZahlungsZeitplan[[#This Row],['#]]&lt;&gt;"",SUM(INDEX(ZahlungsZeitplan[ZINSEN],1,1):ZahlungsZeitplan[[#This Row],[ZINSEN]]),"")</f>
        <v/>
      </c>
    </row>
    <row r="313" spans="2:11">
      <c r="B313" s="193" t="str">
        <f ca="1">IF(DarlehenIstGut,IF(ROW()-ROW(ZahlungsZeitplan[[#Headers],['#]])&gt;PlanmäßigeAnzahlZahlungen,"",ROW()-ROW(ZahlungsZeitplan[[#Headers],['#]])),"")</f>
        <v/>
      </c>
      <c r="C313" s="194" t="str">
        <f ca="1">IF(ZahlungsZeitplan[[#This Row],['#]]&lt;&gt;"",EOMONTH(DarlehensAnfangsDatum,ROW(ZahlungsZeitplan[[#This Row],['#]])-ROW(ZahlungsZeitplan[[#Headers],['#]])-2)+DAY(DarlehensAnfangsDatum),"")</f>
        <v/>
      </c>
      <c r="D313" s="195" t="str">
        <f ca="1">IF(ZahlungsZeitplan[[#This Row],['#]]&lt;&gt;"",IF(ROW()-ROW(ZahlungsZeitplan[[#Headers],[ANFANGSSALDO]])=1,DarlehensBetrag,INDEX(ZahlungsZeitplan[ENDSALDO],ROW()-ROW(ZahlungsZeitplan[[#Headers],[ANFANGSSALDO]])-1)),"")</f>
        <v/>
      </c>
      <c r="E313" s="195" t="str">
        <f ca="1">IF(ZahlungsZeitplan[[#This Row],['#]]&lt;&gt;"",PlanmäßigeZahlung,"")</f>
        <v/>
      </c>
      <c r="F31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3" s="195" t="str">
        <f ca="1">IF(ZahlungsZeitplan[[#This Row],['#]]&lt;&gt;"",ZahlungsZeitplan[[#This Row],[GESAMTZAHLUNG]]-ZahlungsZeitplan[[#This Row],[ZINSEN]],"")</f>
        <v/>
      </c>
      <c r="I313" s="195" t="str">
        <f ca="1">IF(ZahlungsZeitplan[[#This Row],['#]]&lt;=($D$8*12),IF(ZahlungsZeitplan[[#This Row],['#]]&lt;&gt;"",ZahlungsZeitplan[[#This Row],[ANFANGSSALDO]]*(ZinsSatz/ZahlungenProJahr),""),IF(ZahlungsZeitplan[[#This Row],['#]]&lt;&gt;"",ZahlungsZeitplan[[#This Row],[ANFANGSSALDO]]*((ZinsSatz+$D$9)/ZahlungenProJahr),""))</f>
        <v/>
      </c>
      <c r="J313" s="195" t="str">
        <f ca="1">IF(ZahlungsZeitplan[[#This Row],['#]]&lt;&gt;"",IF(ZahlungsZeitplan[[#This Row],[Zahlungen (Plan)]]+ZahlungsZeitplan[[#This Row],[SONDERZAHLUNG]]&lt;=ZahlungsZeitplan[[#This Row],[ANFANGSSALDO]],ZahlungsZeitplan[[#This Row],[ANFANGSSALDO]]-ZahlungsZeitplan[[#This Row],[KAPITAL]],0),"")</f>
        <v/>
      </c>
      <c r="K313" s="195" t="str">
        <f ca="1">IF(ZahlungsZeitplan[[#This Row],['#]]&lt;&gt;"",SUM(INDEX(ZahlungsZeitplan[ZINSEN],1,1):ZahlungsZeitplan[[#This Row],[ZINSEN]]),"")</f>
        <v/>
      </c>
    </row>
    <row r="314" spans="2:11">
      <c r="B314" s="193" t="str">
        <f ca="1">IF(DarlehenIstGut,IF(ROW()-ROW(ZahlungsZeitplan[[#Headers],['#]])&gt;PlanmäßigeAnzahlZahlungen,"",ROW()-ROW(ZahlungsZeitplan[[#Headers],['#]])),"")</f>
        <v/>
      </c>
      <c r="C314" s="194" t="str">
        <f ca="1">IF(ZahlungsZeitplan[[#This Row],['#]]&lt;&gt;"",EOMONTH(DarlehensAnfangsDatum,ROW(ZahlungsZeitplan[[#This Row],['#]])-ROW(ZahlungsZeitplan[[#Headers],['#]])-2)+DAY(DarlehensAnfangsDatum),"")</f>
        <v/>
      </c>
      <c r="D314" s="195" t="str">
        <f ca="1">IF(ZahlungsZeitplan[[#This Row],['#]]&lt;&gt;"",IF(ROW()-ROW(ZahlungsZeitplan[[#Headers],[ANFANGSSALDO]])=1,DarlehensBetrag,INDEX(ZahlungsZeitplan[ENDSALDO],ROW()-ROW(ZahlungsZeitplan[[#Headers],[ANFANGSSALDO]])-1)),"")</f>
        <v/>
      </c>
      <c r="E314" s="195" t="str">
        <f ca="1">IF(ZahlungsZeitplan[[#This Row],['#]]&lt;&gt;"",PlanmäßigeZahlung,"")</f>
        <v/>
      </c>
      <c r="F31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4" s="195" t="str">
        <f ca="1">IF(ZahlungsZeitplan[[#This Row],['#]]&lt;&gt;"",ZahlungsZeitplan[[#This Row],[GESAMTZAHLUNG]]-ZahlungsZeitplan[[#This Row],[ZINSEN]],"")</f>
        <v/>
      </c>
      <c r="I314" s="195" t="str">
        <f ca="1">IF(ZahlungsZeitplan[[#This Row],['#]]&lt;=($D$8*12),IF(ZahlungsZeitplan[[#This Row],['#]]&lt;&gt;"",ZahlungsZeitplan[[#This Row],[ANFANGSSALDO]]*(ZinsSatz/ZahlungenProJahr),""),IF(ZahlungsZeitplan[[#This Row],['#]]&lt;&gt;"",ZahlungsZeitplan[[#This Row],[ANFANGSSALDO]]*((ZinsSatz+$D$9)/ZahlungenProJahr),""))</f>
        <v/>
      </c>
      <c r="J314" s="195" t="str">
        <f ca="1">IF(ZahlungsZeitplan[[#This Row],['#]]&lt;&gt;"",IF(ZahlungsZeitplan[[#This Row],[Zahlungen (Plan)]]+ZahlungsZeitplan[[#This Row],[SONDERZAHLUNG]]&lt;=ZahlungsZeitplan[[#This Row],[ANFANGSSALDO]],ZahlungsZeitplan[[#This Row],[ANFANGSSALDO]]-ZahlungsZeitplan[[#This Row],[KAPITAL]],0),"")</f>
        <v/>
      </c>
      <c r="K314" s="195" t="str">
        <f ca="1">IF(ZahlungsZeitplan[[#This Row],['#]]&lt;&gt;"",SUM(INDEX(ZahlungsZeitplan[ZINSEN],1,1):ZahlungsZeitplan[[#This Row],[ZINSEN]]),"")</f>
        <v/>
      </c>
    </row>
    <row r="315" spans="2:11">
      <c r="B315" s="193" t="str">
        <f ca="1">IF(DarlehenIstGut,IF(ROW()-ROW(ZahlungsZeitplan[[#Headers],['#]])&gt;PlanmäßigeAnzahlZahlungen,"",ROW()-ROW(ZahlungsZeitplan[[#Headers],['#]])),"")</f>
        <v/>
      </c>
      <c r="C315" s="194" t="str">
        <f ca="1">IF(ZahlungsZeitplan[[#This Row],['#]]&lt;&gt;"",EOMONTH(DarlehensAnfangsDatum,ROW(ZahlungsZeitplan[[#This Row],['#]])-ROW(ZahlungsZeitplan[[#Headers],['#]])-2)+DAY(DarlehensAnfangsDatum),"")</f>
        <v/>
      </c>
      <c r="D315" s="195" t="str">
        <f ca="1">IF(ZahlungsZeitplan[[#This Row],['#]]&lt;&gt;"",IF(ROW()-ROW(ZahlungsZeitplan[[#Headers],[ANFANGSSALDO]])=1,DarlehensBetrag,INDEX(ZahlungsZeitplan[ENDSALDO],ROW()-ROW(ZahlungsZeitplan[[#Headers],[ANFANGSSALDO]])-1)),"")</f>
        <v/>
      </c>
      <c r="E315" s="195" t="str">
        <f ca="1">IF(ZahlungsZeitplan[[#This Row],['#]]&lt;&gt;"",PlanmäßigeZahlung,"")</f>
        <v/>
      </c>
      <c r="F31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5" s="195" t="str">
        <f ca="1">IF(ZahlungsZeitplan[[#This Row],['#]]&lt;&gt;"",ZahlungsZeitplan[[#This Row],[GESAMTZAHLUNG]]-ZahlungsZeitplan[[#This Row],[ZINSEN]],"")</f>
        <v/>
      </c>
      <c r="I315" s="195" t="str">
        <f ca="1">IF(ZahlungsZeitplan[[#This Row],['#]]&lt;=($D$8*12),IF(ZahlungsZeitplan[[#This Row],['#]]&lt;&gt;"",ZahlungsZeitplan[[#This Row],[ANFANGSSALDO]]*(ZinsSatz/ZahlungenProJahr),""),IF(ZahlungsZeitplan[[#This Row],['#]]&lt;&gt;"",ZahlungsZeitplan[[#This Row],[ANFANGSSALDO]]*((ZinsSatz+$D$9)/ZahlungenProJahr),""))</f>
        <v/>
      </c>
      <c r="J315" s="195" t="str">
        <f ca="1">IF(ZahlungsZeitplan[[#This Row],['#]]&lt;&gt;"",IF(ZahlungsZeitplan[[#This Row],[Zahlungen (Plan)]]+ZahlungsZeitplan[[#This Row],[SONDERZAHLUNG]]&lt;=ZahlungsZeitplan[[#This Row],[ANFANGSSALDO]],ZahlungsZeitplan[[#This Row],[ANFANGSSALDO]]-ZahlungsZeitplan[[#This Row],[KAPITAL]],0),"")</f>
        <v/>
      </c>
      <c r="K315" s="195" t="str">
        <f ca="1">IF(ZahlungsZeitplan[[#This Row],['#]]&lt;&gt;"",SUM(INDEX(ZahlungsZeitplan[ZINSEN],1,1):ZahlungsZeitplan[[#This Row],[ZINSEN]]),"")</f>
        <v/>
      </c>
    </row>
    <row r="316" spans="2:11">
      <c r="B316" s="193" t="str">
        <f ca="1">IF(DarlehenIstGut,IF(ROW()-ROW(ZahlungsZeitplan[[#Headers],['#]])&gt;PlanmäßigeAnzahlZahlungen,"",ROW()-ROW(ZahlungsZeitplan[[#Headers],['#]])),"")</f>
        <v/>
      </c>
      <c r="C316" s="194" t="str">
        <f ca="1">IF(ZahlungsZeitplan[[#This Row],['#]]&lt;&gt;"",EOMONTH(DarlehensAnfangsDatum,ROW(ZahlungsZeitplan[[#This Row],['#]])-ROW(ZahlungsZeitplan[[#Headers],['#]])-2)+DAY(DarlehensAnfangsDatum),"")</f>
        <v/>
      </c>
      <c r="D316" s="195" t="str">
        <f ca="1">IF(ZahlungsZeitplan[[#This Row],['#]]&lt;&gt;"",IF(ROW()-ROW(ZahlungsZeitplan[[#Headers],[ANFANGSSALDO]])=1,DarlehensBetrag,INDEX(ZahlungsZeitplan[ENDSALDO],ROW()-ROW(ZahlungsZeitplan[[#Headers],[ANFANGSSALDO]])-1)),"")</f>
        <v/>
      </c>
      <c r="E316" s="195" t="str">
        <f ca="1">IF(ZahlungsZeitplan[[#This Row],['#]]&lt;&gt;"",PlanmäßigeZahlung,"")</f>
        <v/>
      </c>
      <c r="F31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6" s="195" t="str">
        <f ca="1">IF(ZahlungsZeitplan[[#This Row],['#]]&lt;&gt;"",ZahlungsZeitplan[[#This Row],[GESAMTZAHLUNG]]-ZahlungsZeitplan[[#This Row],[ZINSEN]],"")</f>
        <v/>
      </c>
      <c r="I316" s="195" t="str">
        <f ca="1">IF(ZahlungsZeitplan[[#This Row],['#]]&lt;=($D$8*12),IF(ZahlungsZeitplan[[#This Row],['#]]&lt;&gt;"",ZahlungsZeitplan[[#This Row],[ANFANGSSALDO]]*(ZinsSatz/ZahlungenProJahr),""),IF(ZahlungsZeitplan[[#This Row],['#]]&lt;&gt;"",ZahlungsZeitplan[[#This Row],[ANFANGSSALDO]]*((ZinsSatz+$D$9)/ZahlungenProJahr),""))</f>
        <v/>
      </c>
      <c r="J316" s="195" t="str">
        <f ca="1">IF(ZahlungsZeitplan[[#This Row],['#]]&lt;&gt;"",IF(ZahlungsZeitplan[[#This Row],[Zahlungen (Plan)]]+ZahlungsZeitplan[[#This Row],[SONDERZAHLUNG]]&lt;=ZahlungsZeitplan[[#This Row],[ANFANGSSALDO]],ZahlungsZeitplan[[#This Row],[ANFANGSSALDO]]-ZahlungsZeitplan[[#This Row],[KAPITAL]],0),"")</f>
        <v/>
      </c>
      <c r="K316" s="195" t="str">
        <f ca="1">IF(ZahlungsZeitplan[[#This Row],['#]]&lt;&gt;"",SUM(INDEX(ZahlungsZeitplan[ZINSEN],1,1):ZahlungsZeitplan[[#This Row],[ZINSEN]]),"")</f>
        <v/>
      </c>
    </row>
    <row r="317" spans="2:11">
      <c r="B317" s="193" t="str">
        <f ca="1">IF(DarlehenIstGut,IF(ROW()-ROW(ZahlungsZeitplan[[#Headers],['#]])&gt;PlanmäßigeAnzahlZahlungen,"",ROW()-ROW(ZahlungsZeitplan[[#Headers],['#]])),"")</f>
        <v/>
      </c>
      <c r="C317" s="194" t="str">
        <f ca="1">IF(ZahlungsZeitplan[[#This Row],['#]]&lt;&gt;"",EOMONTH(DarlehensAnfangsDatum,ROW(ZahlungsZeitplan[[#This Row],['#]])-ROW(ZahlungsZeitplan[[#Headers],['#]])-2)+DAY(DarlehensAnfangsDatum),"")</f>
        <v/>
      </c>
      <c r="D317" s="195" t="str">
        <f ca="1">IF(ZahlungsZeitplan[[#This Row],['#]]&lt;&gt;"",IF(ROW()-ROW(ZahlungsZeitplan[[#Headers],[ANFANGSSALDO]])=1,DarlehensBetrag,INDEX(ZahlungsZeitplan[ENDSALDO],ROW()-ROW(ZahlungsZeitplan[[#Headers],[ANFANGSSALDO]])-1)),"")</f>
        <v/>
      </c>
      <c r="E317" s="195" t="str">
        <f ca="1">IF(ZahlungsZeitplan[[#This Row],['#]]&lt;&gt;"",PlanmäßigeZahlung,"")</f>
        <v/>
      </c>
      <c r="F31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7" s="195" t="str">
        <f ca="1">IF(ZahlungsZeitplan[[#This Row],['#]]&lt;&gt;"",ZahlungsZeitplan[[#This Row],[GESAMTZAHLUNG]]-ZahlungsZeitplan[[#This Row],[ZINSEN]],"")</f>
        <v/>
      </c>
      <c r="I317" s="195" t="str">
        <f ca="1">IF(ZahlungsZeitplan[[#This Row],['#]]&lt;=($D$8*12),IF(ZahlungsZeitplan[[#This Row],['#]]&lt;&gt;"",ZahlungsZeitplan[[#This Row],[ANFANGSSALDO]]*(ZinsSatz/ZahlungenProJahr),""),IF(ZahlungsZeitplan[[#This Row],['#]]&lt;&gt;"",ZahlungsZeitplan[[#This Row],[ANFANGSSALDO]]*((ZinsSatz+$D$9)/ZahlungenProJahr),""))</f>
        <v/>
      </c>
      <c r="J317" s="195" t="str">
        <f ca="1">IF(ZahlungsZeitplan[[#This Row],['#]]&lt;&gt;"",IF(ZahlungsZeitplan[[#This Row],[Zahlungen (Plan)]]+ZahlungsZeitplan[[#This Row],[SONDERZAHLUNG]]&lt;=ZahlungsZeitplan[[#This Row],[ANFANGSSALDO]],ZahlungsZeitplan[[#This Row],[ANFANGSSALDO]]-ZahlungsZeitplan[[#This Row],[KAPITAL]],0),"")</f>
        <v/>
      </c>
      <c r="K317" s="195" t="str">
        <f ca="1">IF(ZahlungsZeitplan[[#This Row],['#]]&lt;&gt;"",SUM(INDEX(ZahlungsZeitplan[ZINSEN],1,1):ZahlungsZeitplan[[#This Row],[ZINSEN]]),"")</f>
        <v/>
      </c>
    </row>
    <row r="318" spans="2:11">
      <c r="B318" s="193" t="str">
        <f ca="1">IF(DarlehenIstGut,IF(ROW()-ROW(ZahlungsZeitplan[[#Headers],['#]])&gt;PlanmäßigeAnzahlZahlungen,"",ROW()-ROW(ZahlungsZeitplan[[#Headers],['#]])),"")</f>
        <v/>
      </c>
      <c r="C318" s="194" t="str">
        <f ca="1">IF(ZahlungsZeitplan[[#This Row],['#]]&lt;&gt;"",EOMONTH(DarlehensAnfangsDatum,ROW(ZahlungsZeitplan[[#This Row],['#]])-ROW(ZahlungsZeitplan[[#Headers],['#]])-2)+DAY(DarlehensAnfangsDatum),"")</f>
        <v/>
      </c>
      <c r="D318" s="195" t="str">
        <f ca="1">IF(ZahlungsZeitplan[[#This Row],['#]]&lt;&gt;"",IF(ROW()-ROW(ZahlungsZeitplan[[#Headers],[ANFANGSSALDO]])=1,DarlehensBetrag,INDEX(ZahlungsZeitplan[ENDSALDO],ROW()-ROW(ZahlungsZeitplan[[#Headers],[ANFANGSSALDO]])-1)),"")</f>
        <v/>
      </c>
      <c r="E318" s="195" t="str">
        <f ca="1">IF(ZahlungsZeitplan[[#This Row],['#]]&lt;&gt;"",PlanmäßigeZahlung,"")</f>
        <v/>
      </c>
      <c r="F31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8" s="195" t="str">
        <f ca="1">IF(ZahlungsZeitplan[[#This Row],['#]]&lt;&gt;"",ZahlungsZeitplan[[#This Row],[GESAMTZAHLUNG]]-ZahlungsZeitplan[[#This Row],[ZINSEN]],"")</f>
        <v/>
      </c>
      <c r="I318" s="195" t="str">
        <f ca="1">IF(ZahlungsZeitplan[[#This Row],['#]]&lt;=($D$8*12),IF(ZahlungsZeitplan[[#This Row],['#]]&lt;&gt;"",ZahlungsZeitplan[[#This Row],[ANFANGSSALDO]]*(ZinsSatz/ZahlungenProJahr),""),IF(ZahlungsZeitplan[[#This Row],['#]]&lt;&gt;"",ZahlungsZeitplan[[#This Row],[ANFANGSSALDO]]*((ZinsSatz+$D$9)/ZahlungenProJahr),""))</f>
        <v/>
      </c>
      <c r="J318" s="195" t="str">
        <f ca="1">IF(ZahlungsZeitplan[[#This Row],['#]]&lt;&gt;"",IF(ZahlungsZeitplan[[#This Row],[Zahlungen (Plan)]]+ZahlungsZeitplan[[#This Row],[SONDERZAHLUNG]]&lt;=ZahlungsZeitplan[[#This Row],[ANFANGSSALDO]],ZahlungsZeitplan[[#This Row],[ANFANGSSALDO]]-ZahlungsZeitplan[[#This Row],[KAPITAL]],0),"")</f>
        <v/>
      </c>
      <c r="K318" s="195" t="str">
        <f ca="1">IF(ZahlungsZeitplan[[#This Row],['#]]&lt;&gt;"",SUM(INDEX(ZahlungsZeitplan[ZINSEN],1,1):ZahlungsZeitplan[[#This Row],[ZINSEN]]),"")</f>
        <v/>
      </c>
    </row>
    <row r="319" spans="2:11">
      <c r="B319" s="193" t="str">
        <f ca="1">IF(DarlehenIstGut,IF(ROW()-ROW(ZahlungsZeitplan[[#Headers],['#]])&gt;PlanmäßigeAnzahlZahlungen,"",ROW()-ROW(ZahlungsZeitplan[[#Headers],['#]])),"")</f>
        <v/>
      </c>
      <c r="C319" s="194" t="str">
        <f ca="1">IF(ZahlungsZeitplan[[#This Row],['#]]&lt;&gt;"",EOMONTH(DarlehensAnfangsDatum,ROW(ZahlungsZeitplan[[#This Row],['#]])-ROW(ZahlungsZeitplan[[#Headers],['#]])-2)+DAY(DarlehensAnfangsDatum),"")</f>
        <v/>
      </c>
      <c r="D319" s="195" t="str">
        <f ca="1">IF(ZahlungsZeitplan[[#This Row],['#]]&lt;&gt;"",IF(ROW()-ROW(ZahlungsZeitplan[[#Headers],[ANFANGSSALDO]])=1,DarlehensBetrag,INDEX(ZahlungsZeitplan[ENDSALDO],ROW()-ROW(ZahlungsZeitplan[[#Headers],[ANFANGSSALDO]])-1)),"")</f>
        <v/>
      </c>
      <c r="E319" s="195" t="str">
        <f ca="1">IF(ZahlungsZeitplan[[#This Row],['#]]&lt;&gt;"",PlanmäßigeZahlung,"")</f>
        <v/>
      </c>
      <c r="F31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1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19" s="195" t="str">
        <f ca="1">IF(ZahlungsZeitplan[[#This Row],['#]]&lt;&gt;"",ZahlungsZeitplan[[#This Row],[GESAMTZAHLUNG]]-ZahlungsZeitplan[[#This Row],[ZINSEN]],"")</f>
        <v/>
      </c>
      <c r="I319" s="195" t="str">
        <f ca="1">IF(ZahlungsZeitplan[[#This Row],['#]]&lt;=($D$8*12),IF(ZahlungsZeitplan[[#This Row],['#]]&lt;&gt;"",ZahlungsZeitplan[[#This Row],[ANFANGSSALDO]]*(ZinsSatz/ZahlungenProJahr),""),IF(ZahlungsZeitplan[[#This Row],['#]]&lt;&gt;"",ZahlungsZeitplan[[#This Row],[ANFANGSSALDO]]*((ZinsSatz+$D$9)/ZahlungenProJahr),""))</f>
        <v/>
      </c>
      <c r="J319" s="195" t="str">
        <f ca="1">IF(ZahlungsZeitplan[[#This Row],['#]]&lt;&gt;"",IF(ZahlungsZeitplan[[#This Row],[Zahlungen (Plan)]]+ZahlungsZeitplan[[#This Row],[SONDERZAHLUNG]]&lt;=ZahlungsZeitplan[[#This Row],[ANFANGSSALDO]],ZahlungsZeitplan[[#This Row],[ANFANGSSALDO]]-ZahlungsZeitplan[[#This Row],[KAPITAL]],0),"")</f>
        <v/>
      </c>
      <c r="K319" s="195" t="str">
        <f ca="1">IF(ZahlungsZeitplan[[#This Row],['#]]&lt;&gt;"",SUM(INDEX(ZahlungsZeitplan[ZINSEN],1,1):ZahlungsZeitplan[[#This Row],[ZINSEN]]),"")</f>
        <v/>
      </c>
    </row>
    <row r="320" spans="2:11">
      <c r="B320" s="193" t="str">
        <f ca="1">IF(DarlehenIstGut,IF(ROW()-ROW(ZahlungsZeitplan[[#Headers],['#]])&gt;PlanmäßigeAnzahlZahlungen,"",ROW()-ROW(ZahlungsZeitplan[[#Headers],['#]])),"")</f>
        <v/>
      </c>
      <c r="C320" s="194" t="str">
        <f ca="1">IF(ZahlungsZeitplan[[#This Row],['#]]&lt;&gt;"",EOMONTH(DarlehensAnfangsDatum,ROW(ZahlungsZeitplan[[#This Row],['#]])-ROW(ZahlungsZeitplan[[#Headers],['#]])-2)+DAY(DarlehensAnfangsDatum),"")</f>
        <v/>
      </c>
      <c r="D320" s="195" t="str">
        <f ca="1">IF(ZahlungsZeitplan[[#This Row],['#]]&lt;&gt;"",IF(ROW()-ROW(ZahlungsZeitplan[[#Headers],[ANFANGSSALDO]])=1,DarlehensBetrag,INDEX(ZahlungsZeitplan[ENDSALDO],ROW()-ROW(ZahlungsZeitplan[[#Headers],[ANFANGSSALDO]])-1)),"")</f>
        <v/>
      </c>
      <c r="E320" s="195" t="str">
        <f ca="1">IF(ZahlungsZeitplan[[#This Row],['#]]&lt;&gt;"",PlanmäßigeZahlung,"")</f>
        <v/>
      </c>
      <c r="F32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0" s="195" t="str">
        <f ca="1">IF(ZahlungsZeitplan[[#This Row],['#]]&lt;&gt;"",ZahlungsZeitplan[[#This Row],[GESAMTZAHLUNG]]-ZahlungsZeitplan[[#This Row],[ZINSEN]],"")</f>
        <v/>
      </c>
      <c r="I320" s="195" t="str">
        <f ca="1">IF(ZahlungsZeitplan[[#This Row],['#]]&lt;=($D$8*12),IF(ZahlungsZeitplan[[#This Row],['#]]&lt;&gt;"",ZahlungsZeitplan[[#This Row],[ANFANGSSALDO]]*(ZinsSatz/ZahlungenProJahr),""),IF(ZahlungsZeitplan[[#This Row],['#]]&lt;&gt;"",ZahlungsZeitplan[[#This Row],[ANFANGSSALDO]]*((ZinsSatz+$D$9)/ZahlungenProJahr),""))</f>
        <v/>
      </c>
      <c r="J320" s="195" t="str">
        <f ca="1">IF(ZahlungsZeitplan[[#This Row],['#]]&lt;&gt;"",IF(ZahlungsZeitplan[[#This Row],[Zahlungen (Plan)]]+ZahlungsZeitplan[[#This Row],[SONDERZAHLUNG]]&lt;=ZahlungsZeitplan[[#This Row],[ANFANGSSALDO]],ZahlungsZeitplan[[#This Row],[ANFANGSSALDO]]-ZahlungsZeitplan[[#This Row],[KAPITAL]],0),"")</f>
        <v/>
      </c>
      <c r="K320" s="195" t="str">
        <f ca="1">IF(ZahlungsZeitplan[[#This Row],['#]]&lt;&gt;"",SUM(INDEX(ZahlungsZeitplan[ZINSEN],1,1):ZahlungsZeitplan[[#This Row],[ZINSEN]]),"")</f>
        <v/>
      </c>
    </row>
    <row r="321" spans="2:11">
      <c r="B321" s="193" t="str">
        <f ca="1">IF(DarlehenIstGut,IF(ROW()-ROW(ZahlungsZeitplan[[#Headers],['#]])&gt;PlanmäßigeAnzahlZahlungen,"",ROW()-ROW(ZahlungsZeitplan[[#Headers],['#]])),"")</f>
        <v/>
      </c>
      <c r="C321" s="194" t="str">
        <f ca="1">IF(ZahlungsZeitplan[[#This Row],['#]]&lt;&gt;"",EOMONTH(DarlehensAnfangsDatum,ROW(ZahlungsZeitplan[[#This Row],['#]])-ROW(ZahlungsZeitplan[[#Headers],['#]])-2)+DAY(DarlehensAnfangsDatum),"")</f>
        <v/>
      </c>
      <c r="D321" s="195" t="str">
        <f ca="1">IF(ZahlungsZeitplan[[#This Row],['#]]&lt;&gt;"",IF(ROW()-ROW(ZahlungsZeitplan[[#Headers],[ANFANGSSALDO]])=1,DarlehensBetrag,INDEX(ZahlungsZeitplan[ENDSALDO],ROW()-ROW(ZahlungsZeitplan[[#Headers],[ANFANGSSALDO]])-1)),"")</f>
        <v/>
      </c>
      <c r="E321" s="195" t="str">
        <f ca="1">IF(ZahlungsZeitplan[[#This Row],['#]]&lt;&gt;"",PlanmäßigeZahlung,"")</f>
        <v/>
      </c>
      <c r="F32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1" s="195" t="str">
        <f ca="1">IF(ZahlungsZeitplan[[#This Row],['#]]&lt;&gt;"",ZahlungsZeitplan[[#This Row],[GESAMTZAHLUNG]]-ZahlungsZeitplan[[#This Row],[ZINSEN]],"")</f>
        <v/>
      </c>
      <c r="I321" s="195" t="str">
        <f ca="1">IF(ZahlungsZeitplan[[#This Row],['#]]&lt;=($D$8*12),IF(ZahlungsZeitplan[[#This Row],['#]]&lt;&gt;"",ZahlungsZeitplan[[#This Row],[ANFANGSSALDO]]*(ZinsSatz/ZahlungenProJahr),""),IF(ZahlungsZeitplan[[#This Row],['#]]&lt;&gt;"",ZahlungsZeitplan[[#This Row],[ANFANGSSALDO]]*((ZinsSatz+$D$9)/ZahlungenProJahr),""))</f>
        <v/>
      </c>
      <c r="J321" s="195" t="str">
        <f ca="1">IF(ZahlungsZeitplan[[#This Row],['#]]&lt;&gt;"",IF(ZahlungsZeitplan[[#This Row],[Zahlungen (Plan)]]+ZahlungsZeitplan[[#This Row],[SONDERZAHLUNG]]&lt;=ZahlungsZeitplan[[#This Row],[ANFANGSSALDO]],ZahlungsZeitplan[[#This Row],[ANFANGSSALDO]]-ZahlungsZeitplan[[#This Row],[KAPITAL]],0),"")</f>
        <v/>
      </c>
      <c r="K321" s="195" t="str">
        <f ca="1">IF(ZahlungsZeitplan[[#This Row],['#]]&lt;&gt;"",SUM(INDEX(ZahlungsZeitplan[ZINSEN],1,1):ZahlungsZeitplan[[#This Row],[ZINSEN]]),"")</f>
        <v/>
      </c>
    </row>
    <row r="322" spans="2:11">
      <c r="B322" s="193" t="str">
        <f ca="1">IF(DarlehenIstGut,IF(ROW()-ROW(ZahlungsZeitplan[[#Headers],['#]])&gt;PlanmäßigeAnzahlZahlungen,"",ROW()-ROW(ZahlungsZeitplan[[#Headers],['#]])),"")</f>
        <v/>
      </c>
      <c r="C322" s="194" t="str">
        <f ca="1">IF(ZahlungsZeitplan[[#This Row],['#]]&lt;&gt;"",EOMONTH(DarlehensAnfangsDatum,ROW(ZahlungsZeitplan[[#This Row],['#]])-ROW(ZahlungsZeitplan[[#Headers],['#]])-2)+DAY(DarlehensAnfangsDatum),"")</f>
        <v/>
      </c>
      <c r="D322" s="195" t="str">
        <f ca="1">IF(ZahlungsZeitplan[[#This Row],['#]]&lt;&gt;"",IF(ROW()-ROW(ZahlungsZeitplan[[#Headers],[ANFANGSSALDO]])=1,DarlehensBetrag,INDEX(ZahlungsZeitplan[ENDSALDO],ROW()-ROW(ZahlungsZeitplan[[#Headers],[ANFANGSSALDO]])-1)),"")</f>
        <v/>
      </c>
      <c r="E322" s="195" t="str">
        <f ca="1">IF(ZahlungsZeitplan[[#This Row],['#]]&lt;&gt;"",PlanmäßigeZahlung,"")</f>
        <v/>
      </c>
      <c r="F32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2" s="195" t="str">
        <f ca="1">IF(ZahlungsZeitplan[[#This Row],['#]]&lt;&gt;"",ZahlungsZeitplan[[#This Row],[GESAMTZAHLUNG]]-ZahlungsZeitplan[[#This Row],[ZINSEN]],"")</f>
        <v/>
      </c>
      <c r="I322" s="195" t="str">
        <f ca="1">IF(ZahlungsZeitplan[[#This Row],['#]]&lt;=($D$8*12),IF(ZahlungsZeitplan[[#This Row],['#]]&lt;&gt;"",ZahlungsZeitplan[[#This Row],[ANFANGSSALDO]]*(ZinsSatz/ZahlungenProJahr),""),IF(ZahlungsZeitplan[[#This Row],['#]]&lt;&gt;"",ZahlungsZeitplan[[#This Row],[ANFANGSSALDO]]*((ZinsSatz+$D$9)/ZahlungenProJahr),""))</f>
        <v/>
      </c>
      <c r="J322" s="195" t="str">
        <f ca="1">IF(ZahlungsZeitplan[[#This Row],['#]]&lt;&gt;"",IF(ZahlungsZeitplan[[#This Row],[Zahlungen (Plan)]]+ZahlungsZeitplan[[#This Row],[SONDERZAHLUNG]]&lt;=ZahlungsZeitplan[[#This Row],[ANFANGSSALDO]],ZahlungsZeitplan[[#This Row],[ANFANGSSALDO]]-ZahlungsZeitplan[[#This Row],[KAPITAL]],0),"")</f>
        <v/>
      </c>
      <c r="K322" s="195" t="str">
        <f ca="1">IF(ZahlungsZeitplan[[#This Row],['#]]&lt;&gt;"",SUM(INDEX(ZahlungsZeitplan[ZINSEN],1,1):ZahlungsZeitplan[[#This Row],[ZINSEN]]),"")</f>
        <v/>
      </c>
    </row>
    <row r="323" spans="2:11">
      <c r="B323" s="193" t="str">
        <f ca="1">IF(DarlehenIstGut,IF(ROW()-ROW(ZahlungsZeitplan[[#Headers],['#]])&gt;PlanmäßigeAnzahlZahlungen,"",ROW()-ROW(ZahlungsZeitplan[[#Headers],['#]])),"")</f>
        <v/>
      </c>
      <c r="C323" s="194" t="str">
        <f ca="1">IF(ZahlungsZeitplan[[#This Row],['#]]&lt;&gt;"",EOMONTH(DarlehensAnfangsDatum,ROW(ZahlungsZeitplan[[#This Row],['#]])-ROW(ZahlungsZeitplan[[#Headers],['#]])-2)+DAY(DarlehensAnfangsDatum),"")</f>
        <v/>
      </c>
      <c r="D323" s="195" t="str">
        <f ca="1">IF(ZahlungsZeitplan[[#This Row],['#]]&lt;&gt;"",IF(ROW()-ROW(ZahlungsZeitplan[[#Headers],[ANFANGSSALDO]])=1,DarlehensBetrag,INDEX(ZahlungsZeitplan[ENDSALDO],ROW()-ROW(ZahlungsZeitplan[[#Headers],[ANFANGSSALDO]])-1)),"")</f>
        <v/>
      </c>
      <c r="E323" s="195" t="str">
        <f ca="1">IF(ZahlungsZeitplan[[#This Row],['#]]&lt;&gt;"",PlanmäßigeZahlung,"")</f>
        <v/>
      </c>
      <c r="F32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3" s="195" t="str">
        <f ca="1">IF(ZahlungsZeitplan[[#This Row],['#]]&lt;&gt;"",ZahlungsZeitplan[[#This Row],[GESAMTZAHLUNG]]-ZahlungsZeitplan[[#This Row],[ZINSEN]],"")</f>
        <v/>
      </c>
      <c r="I323" s="195" t="str">
        <f ca="1">IF(ZahlungsZeitplan[[#This Row],['#]]&lt;=($D$8*12),IF(ZahlungsZeitplan[[#This Row],['#]]&lt;&gt;"",ZahlungsZeitplan[[#This Row],[ANFANGSSALDO]]*(ZinsSatz/ZahlungenProJahr),""),IF(ZahlungsZeitplan[[#This Row],['#]]&lt;&gt;"",ZahlungsZeitplan[[#This Row],[ANFANGSSALDO]]*((ZinsSatz+$D$9)/ZahlungenProJahr),""))</f>
        <v/>
      </c>
      <c r="J323" s="195" t="str">
        <f ca="1">IF(ZahlungsZeitplan[[#This Row],['#]]&lt;&gt;"",IF(ZahlungsZeitplan[[#This Row],[Zahlungen (Plan)]]+ZahlungsZeitplan[[#This Row],[SONDERZAHLUNG]]&lt;=ZahlungsZeitplan[[#This Row],[ANFANGSSALDO]],ZahlungsZeitplan[[#This Row],[ANFANGSSALDO]]-ZahlungsZeitplan[[#This Row],[KAPITAL]],0),"")</f>
        <v/>
      </c>
      <c r="K323" s="195" t="str">
        <f ca="1">IF(ZahlungsZeitplan[[#This Row],['#]]&lt;&gt;"",SUM(INDEX(ZahlungsZeitplan[ZINSEN],1,1):ZahlungsZeitplan[[#This Row],[ZINSEN]]),"")</f>
        <v/>
      </c>
    </row>
    <row r="324" spans="2:11">
      <c r="B324" s="193" t="str">
        <f ca="1">IF(DarlehenIstGut,IF(ROW()-ROW(ZahlungsZeitplan[[#Headers],['#]])&gt;PlanmäßigeAnzahlZahlungen,"",ROW()-ROW(ZahlungsZeitplan[[#Headers],['#]])),"")</f>
        <v/>
      </c>
      <c r="C324" s="194" t="str">
        <f ca="1">IF(ZahlungsZeitplan[[#This Row],['#]]&lt;&gt;"",EOMONTH(DarlehensAnfangsDatum,ROW(ZahlungsZeitplan[[#This Row],['#]])-ROW(ZahlungsZeitplan[[#Headers],['#]])-2)+DAY(DarlehensAnfangsDatum),"")</f>
        <v/>
      </c>
      <c r="D324" s="195" t="str">
        <f ca="1">IF(ZahlungsZeitplan[[#This Row],['#]]&lt;&gt;"",IF(ROW()-ROW(ZahlungsZeitplan[[#Headers],[ANFANGSSALDO]])=1,DarlehensBetrag,INDEX(ZahlungsZeitplan[ENDSALDO],ROW()-ROW(ZahlungsZeitplan[[#Headers],[ANFANGSSALDO]])-1)),"")</f>
        <v/>
      </c>
      <c r="E324" s="195" t="str">
        <f ca="1">IF(ZahlungsZeitplan[[#This Row],['#]]&lt;&gt;"",PlanmäßigeZahlung,"")</f>
        <v/>
      </c>
      <c r="F32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4" s="195" t="str">
        <f ca="1">IF(ZahlungsZeitplan[[#This Row],['#]]&lt;&gt;"",ZahlungsZeitplan[[#This Row],[GESAMTZAHLUNG]]-ZahlungsZeitplan[[#This Row],[ZINSEN]],"")</f>
        <v/>
      </c>
      <c r="I324" s="195" t="str">
        <f ca="1">IF(ZahlungsZeitplan[[#This Row],['#]]&lt;=($D$8*12),IF(ZahlungsZeitplan[[#This Row],['#]]&lt;&gt;"",ZahlungsZeitplan[[#This Row],[ANFANGSSALDO]]*(ZinsSatz/ZahlungenProJahr),""),IF(ZahlungsZeitplan[[#This Row],['#]]&lt;&gt;"",ZahlungsZeitplan[[#This Row],[ANFANGSSALDO]]*((ZinsSatz+$D$9)/ZahlungenProJahr),""))</f>
        <v/>
      </c>
      <c r="J324" s="195" t="str">
        <f ca="1">IF(ZahlungsZeitplan[[#This Row],['#]]&lt;&gt;"",IF(ZahlungsZeitplan[[#This Row],[Zahlungen (Plan)]]+ZahlungsZeitplan[[#This Row],[SONDERZAHLUNG]]&lt;=ZahlungsZeitplan[[#This Row],[ANFANGSSALDO]],ZahlungsZeitplan[[#This Row],[ANFANGSSALDO]]-ZahlungsZeitplan[[#This Row],[KAPITAL]],0),"")</f>
        <v/>
      </c>
      <c r="K324" s="195" t="str">
        <f ca="1">IF(ZahlungsZeitplan[[#This Row],['#]]&lt;&gt;"",SUM(INDEX(ZahlungsZeitplan[ZINSEN],1,1):ZahlungsZeitplan[[#This Row],[ZINSEN]]),"")</f>
        <v/>
      </c>
    </row>
    <row r="325" spans="2:11">
      <c r="B325" s="193" t="str">
        <f ca="1">IF(DarlehenIstGut,IF(ROW()-ROW(ZahlungsZeitplan[[#Headers],['#]])&gt;PlanmäßigeAnzahlZahlungen,"",ROW()-ROW(ZahlungsZeitplan[[#Headers],['#]])),"")</f>
        <v/>
      </c>
      <c r="C325" s="194" t="str">
        <f ca="1">IF(ZahlungsZeitplan[[#This Row],['#]]&lt;&gt;"",EOMONTH(DarlehensAnfangsDatum,ROW(ZahlungsZeitplan[[#This Row],['#]])-ROW(ZahlungsZeitplan[[#Headers],['#]])-2)+DAY(DarlehensAnfangsDatum),"")</f>
        <v/>
      </c>
      <c r="D325" s="195" t="str">
        <f ca="1">IF(ZahlungsZeitplan[[#This Row],['#]]&lt;&gt;"",IF(ROW()-ROW(ZahlungsZeitplan[[#Headers],[ANFANGSSALDO]])=1,DarlehensBetrag,INDEX(ZahlungsZeitplan[ENDSALDO],ROW()-ROW(ZahlungsZeitplan[[#Headers],[ANFANGSSALDO]])-1)),"")</f>
        <v/>
      </c>
      <c r="E325" s="195" t="str">
        <f ca="1">IF(ZahlungsZeitplan[[#This Row],['#]]&lt;&gt;"",PlanmäßigeZahlung,"")</f>
        <v/>
      </c>
      <c r="F32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5" s="195" t="str">
        <f ca="1">IF(ZahlungsZeitplan[[#This Row],['#]]&lt;&gt;"",ZahlungsZeitplan[[#This Row],[GESAMTZAHLUNG]]-ZahlungsZeitplan[[#This Row],[ZINSEN]],"")</f>
        <v/>
      </c>
      <c r="I325" s="195" t="str">
        <f ca="1">IF(ZahlungsZeitplan[[#This Row],['#]]&lt;=($D$8*12),IF(ZahlungsZeitplan[[#This Row],['#]]&lt;&gt;"",ZahlungsZeitplan[[#This Row],[ANFANGSSALDO]]*(ZinsSatz/ZahlungenProJahr),""),IF(ZahlungsZeitplan[[#This Row],['#]]&lt;&gt;"",ZahlungsZeitplan[[#This Row],[ANFANGSSALDO]]*((ZinsSatz+$D$9)/ZahlungenProJahr),""))</f>
        <v/>
      </c>
      <c r="J325" s="195" t="str">
        <f ca="1">IF(ZahlungsZeitplan[[#This Row],['#]]&lt;&gt;"",IF(ZahlungsZeitplan[[#This Row],[Zahlungen (Plan)]]+ZahlungsZeitplan[[#This Row],[SONDERZAHLUNG]]&lt;=ZahlungsZeitplan[[#This Row],[ANFANGSSALDO]],ZahlungsZeitplan[[#This Row],[ANFANGSSALDO]]-ZahlungsZeitplan[[#This Row],[KAPITAL]],0),"")</f>
        <v/>
      </c>
      <c r="K325" s="195" t="str">
        <f ca="1">IF(ZahlungsZeitplan[[#This Row],['#]]&lt;&gt;"",SUM(INDEX(ZahlungsZeitplan[ZINSEN],1,1):ZahlungsZeitplan[[#This Row],[ZINSEN]]),"")</f>
        <v/>
      </c>
    </row>
    <row r="326" spans="2:11">
      <c r="B326" s="193" t="str">
        <f ca="1">IF(DarlehenIstGut,IF(ROW()-ROW(ZahlungsZeitplan[[#Headers],['#]])&gt;PlanmäßigeAnzahlZahlungen,"",ROW()-ROW(ZahlungsZeitplan[[#Headers],['#]])),"")</f>
        <v/>
      </c>
      <c r="C326" s="194" t="str">
        <f ca="1">IF(ZahlungsZeitplan[[#This Row],['#]]&lt;&gt;"",EOMONTH(DarlehensAnfangsDatum,ROW(ZahlungsZeitplan[[#This Row],['#]])-ROW(ZahlungsZeitplan[[#Headers],['#]])-2)+DAY(DarlehensAnfangsDatum),"")</f>
        <v/>
      </c>
      <c r="D326" s="195" t="str">
        <f ca="1">IF(ZahlungsZeitplan[[#This Row],['#]]&lt;&gt;"",IF(ROW()-ROW(ZahlungsZeitplan[[#Headers],[ANFANGSSALDO]])=1,DarlehensBetrag,INDEX(ZahlungsZeitplan[ENDSALDO],ROW()-ROW(ZahlungsZeitplan[[#Headers],[ANFANGSSALDO]])-1)),"")</f>
        <v/>
      </c>
      <c r="E326" s="195" t="str">
        <f ca="1">IF(ZahlungsZeitplan[[#This Row],['#]]&lt;&gt;"",PlanmäßigeZahlung,"")</f>
        <v/>
      </c>
      <c r="F32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6" s="195" t="str">
        <f ca="1">IF(ZahlungsZeitplan[[#This Row],['#]]&lt;&gt;"",ZahlungsZeitplan[[#This Row],[GESAMTZAHLUNG]]-ZahlungsZeitplan[[#This Row],[ZINSEN]],"")</f>
        <v/>
      </c>
      <c r="I326" s="195" t="str">
        <f ca="1">IF(ZahlungsZeitplan[[#This Row],['#]]&lt;=($D$8*12),IF(ZahlungsZeitplan[[#This Row],['#]]&lt;&gt;"",ZahlungsZeitplan[[#This Row],[ANFANGSSALDO]]*(ZinsSatz/ZahlungenProJahr),""),IF(ZahlungsZeitplan[[#This Row],['#]]&lt;&gt;"",ZahlungsZeitplan[[#This Row],[ANFANGSSALDO]]*((ZinsSatz+$D$9)/ZahlungenProJahr),""))</f>
        <v/>
      </c>
      <c r="J326" s="195" t="str">
        <f ca="1">IF(ZahlungsZeitplan[[#This Row],['#]]&lt;&gt;"",IF(ZahlungsZeitplan[[#This Row],[Zahlungen (Plan)]]+ZahlungsZeitplan[[#This Row],[SONDERZAHLUNG]]&lt;=ZahlungsZeitplan[[#This Row],[ANFANGSSALDO]],ZahlungsZeitplan[[#This Row],[ANFANGSSALDO]]-ZahlungsZeitplan[[#This Row],[KAPITAL]],0),"")</f>
        <v/>
      </c>
      <c r="K326" s="195" t="str">
        <f ca="1">IF(ZahlungsZeitplan[[#This Row],['#]]&lt;&gt;"",SUM(INDEX(ZahlungsZeitplan[ZINSEN],1,1):ZahlungsZeitplan[[#This Row],[ZINSEN]]),"")</f>
        <v/>
      </c>
    </row>
    <row r="327" spans="2:11">
      <c r="B327" s="193" t="str">
        <f ca="1">IF(DarlehenIstGut,IF(ROW()-ROW(ZahlungsZeitplan[[#Headers],['#]])&gt;PlanmäßigeAnzahlZahlungen,"",ROW()-ROW(ZahlungsZeitplan[[#Headers],['#]])),"")</f>
        <v/>
      </c>
      <c r="C327" s="194" t="str">
        <f ca="1">IF(ZahlungsZeitplan[[#This Row],['#]]&lt;&gt;"",EOMONTH(DarlehensAnfangsDatum,ROW(ZahlungsZeitplan[[#This Row],['#]])-ROW(ZahlungsZeitplan[[#Headers],['#]])-2)+DAY(DarlehensAnfangsDatum),"")</f>
        <v/>
      </c>
      <c r="D327" s="195" t="str">
        <f ca="1">IF(ZahlungsZeitplan[[#This Row],['#]]&lt;&gt;"",IF(ROW()-ROW(ZahlungsZeitplan[[#Headers],[ANFANGSSALDO]])=1,DarlehensBetrag,INDEX(ZahlungsZeitplan[ENDSALDO],ROW()-ROW(ZahlungsZeitplan[[#Headers],[ANFANGSSALDO]])-1)),"")</f>
        <v/>
      </c>
      <c r="E327" s="195" t="str">
        <f ca="1">IF(ZahlungsZeitplan[[#This Row],['#]]&lt;&gt;"",PlanmäßigeZahlung,"")</f>
        <v/>
      </c>
      <c r="F32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7" s="195" t="str">
        <f ca="1">IF(ZahlungsZeitplan[[#This Row],['#]]&lt;&gt;"",ZahlungsZeitplan[[#This Row],[GESAMTZAHLUNG]]-ZahlungsZeitplan[[#This Row],[ZINSEN]],"")</f>
        <v/>
      </c>
      <c r="I327" s="195" t="str">
        <f ca="1">IF(ZahlungsZeitplan[[#This Row],['#]]&lt;=($D$8*12),IF(ZahlungsZeitplan[[#This Row],['#]]&lt;&gt;"",ZahlungsZeitplan[[#This Row],[ANFANGSSALDO]]*(ZinsSatz/ZahlungenProJahr),""),IF(ZahlungsZeitplan[[#This Row],['#]]&lt;&gt;"",ZahlungsZeitplan[[#This Row],[ANFANGSSALDO]]*((ZinsSatz+$D$9)/ZahlungenProJahr),""))</f>
        <v/>
      </c>
      <c r="J327" s="195" t="str">
        <f ca="1">IF(ZahlungsZeitplan[[#This Row],['#]]&lt;&gt;"",IF(ZahlungsZeitplan[[#This Row],[Zahlungen (Plan)]]+ZahlungsZeitplan[[#This Row],[SONDERZAHLUNG]]&lt;=ZahlungsZeitplan[[#This Row],[ANFANGSSALDO]],ZahlungsZeitplan[[#This Row],[ANFANGSSALDO]]-ZahlungsZeitplan[[#This Row],[KAPITAL]],0),"")</f>
        <v/>
      </c>
      <c r="K327" s="195" t="str">
        <f ca="1">IF(ZahlungsZeitplan[[#This Row],['#]]&lt;&gt;"",SUM(INDEX(ZahlungsZeitplan[ZINSEN],1,1):ZahlungsZeitplan[[#This Row],[ZINSEN]]),"")</f>
        <v/>
      </c>
    </row>
    <row r="328" spans="2:11">
      <c r="B328" s="193" t="str">
        <f ca="1">IF(DarlehenIstGut,IF(ROW()-ROW(ZahlungsZeitplan[[#Headers],['#]])&gt;PlanmäßigeAnzahlZahlungen,"",ROW()-ROW(ZahlungsZeitplan[[#Headers],['#]])),"")</f>
        <v/>
      </c>
      <c r="C328" s="194" t="str">
        <f ca="1">IF(ZahlungsZeitplan[[#This Row],['#]]&lt;&gt;"",EOMONTH(DarlehensAnfangsDatum,ROW(ZahlungsZeitplan[[#This Row],['#]])-ROW(ZahlungsZeitplan[[#Headers],['#]])-2)+DAY(DarlehensAnfangsDatum),"")</f>
        <v/>
      </c>
      <c r="D328" s="195" t="str">
        <f ca="1">IF(ZahlungsZeitplan[[#This Row],['#]]&lt;&gt;"",IF(ROW()-ROW(ZahlungsZeitplan[[#Headers],[ANFANGSSALDO]])=1,DarlehensBetrag,INDEX(ZahlungsZeitplan[ENDSALDO],ROW()-ROW(ZahlungsZeitplan[[#Headers],[ANFANGSSALDO]])-1)),"")</f>
        <v/>
      </c>
      <c r="E328" s="195" t="str">
        <f ca="1">IF(ZahlungsZeitplan[[#This Row],['#]]&lt;&gt;"",PlanmäßigeZahlung,"")</f>
        <v/>
      </c>
      <c r="F32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8" s="195" t="str">
        <f ca="1">IF(ZahlungsZeitplan[[#This Row],['#]]&lt;&gt;"",ZahlungsZeitplan[[#This Row],[GESAMTZAHLUNG]]-ZahlungsZeitplan[[#This Row],[ZINSEN]],"")</f>
        <v/>
      </c>
      <c r="I328" s="195" t="str">
        <f ca="1">IF(ZahlungsZeitplan[[#This Row],['#]]&lt;=($D$8*12),IF(ZahlungsZeitplan[[#This Row],['#]]&lt;&gt;"",ZahlungsZeitplan[[#This Row],[ANFANGSSALDO]]*(ZinsSatz/ZahlungenProJahr),""),IF(ZahlungsZeitplan[[#This Row],['#]]&lt;&gt;"",ZahlungsZeitplan[[#This Row],[ANFANGSSALDO]]*((ZinsSatz+$D$9)/ZahlungenProJahr),""))</f>
        <v/>
      </c>
      <c r="J328" s="195" t="str">
        <f ca="1">IF(ZahlungsZeitplan[[#This Row],['#]]&lt;&gt;"",IF(ZahlungsZeitplan[[#This Row],[Zahlungen (Plan)]]+ZahlungsZeitplan[[#This Row],[SONDERZAHLUNG]]&lt;=ZahlungsZeitplan[[#This Row],[ANFANGSSALDO]],ZahlungsZeitplan[[#This Row],[ANFANGSSALDO]]-ZahlungsZeitplan[[#This Row],[KAPITAL]],0),"")</f>
        <v/>
      </c>
      <c r="K328" s="195" t="str">
        <f ca="1">IF(ZahlungsZeitplan[[#This Row],['#]]&lt;&gt;"",SUM(INDEX(ZahlungsZeitplan[ZINSEN],1,1):ZahlungsZeitplan[[#This Row],[ZINSEN]]),"")</f>
        <v/>
      </c>
    </row>
    <row r="329" spans="2:11">
      <c r="B329" s="193" t="str">
        <f ca="1">IF(DarlehenIstGut,IF(ROW()-ROW(ZahlungsZeitplan[[#Headers],['#]])&gt;PlanmäßigeAnzahlZahlungen,"",ROW()-ROW(ZahlungsZeitplan[[#Headers],['#]])),"")</f>
        <v/>
      </c>
      <c r="C329" s="194" t="str">
        <f ca="1">IF(ZahlungsZeitplan[[#This Row],['#]]&lt;&gt;"",EOMONTH(DarlehensAnfangsDatum,ROW(ZahlungsZeitplan[[#This Row],['#]])-ROW(ZahlungsZeitplan[[#Headers],['#]])-2)+DAY(DarlehensAnfangsDatum),"")</f>
        <v/>
      </c>
      <c r="D329" s="195" t="str">
        <f ca="1">IF(ZahlungsZeitplan[[#This Row],['#]]&lt;&gt;"",IF(ROW()-ROW(ZahlungsZeitplan[[#Headers],[ANFANGSSALDO]])=1,DarlehensBetrag,INDEX(ZahlungsZeitplan[ENDSALDO],ROW()-ROW(ZahlungsZeitplan[[#Headers],[ANFANGSSALDO]])-1)),"")</f>
        <v/>
      </c>
      <c r="E329" s="195" t="str">
        <f ca="1">IF(ZahlungsZeitplan[[#This Row],['#]]&lt;&gt;"",PlanmäßigeZahlung,"")</f>
        <v/>
      </c>
      <c r="F32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2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29" s="195" t="str">
        <f ca="1">IF(ZahlungsZeitplan[[#This Row],['#]]&lt;&gt;"",ZahlungsZeitplan[[#This Row],[GESAMTZAHLUNG]]-ZahlungsZeitplan[[#This Row],[ZINSEN]],"")</f>
        <v/>
      </c>
      <c r="I329" s="195" t="str">
        <f ca="1">IF(ZahlungsZeitplan[[#This Row],['#]]&lt;=($D$8*12),IF(ZahlungsZeitplan[[#This Row],['#]]&lt;&gt;"",ZahlungsZeitplan[[#This Row],[ANFANGSSALDO]]*(ZinsSatz/ZahlungenProJahr),""),IF(ZahlungsZeitplan[[#This Row],['#]]&lt;&gt;"",ZahlungsZeitplan[[#This Row],[ANFANGSSALDO]]*((ZinsSatz+$D$9)/ZahlungenProJahr),""))</f>
        <v/>
      </c>
      <c r="J329" s="195" t="str">
        <f ca="1">IF(ZahlungsZeitplan[[#This Row],['#]]&lt;&gt;"",IF(ZahlungsZeitplan[[#This Row],[Zahlungen (Plan)]]+ZahlungsZeitplan[[#This Row],[SONDERZAHLUNG]]&lt;=ZahlungsZeitplan[[#This Row],[ANFANGSSALDO]],ZahlungsZeitplan[[#This Row],[ANFANGSSALDO]]-ZahlungsZeitplan[[#This Row],[KAPITAL]],0),"")</f>
        <v/>
      </c>
      <c r="K329" s="195" t="str">
        <f ca="1">IF(ZahlungsZeitplan[[#This Row],['#]]&lt;&gt;"",SUM(INDEX(ZahlungsZeitplan[ZINSEN],1,1):ZahlungsZeitplan[[#This Row],[ZINSEN]]),"")</f>
        <v/>
      </c>
    </row>
    <row r="330" spans="2:11">
      <c r="B330" s="193" t="str">
        <f ca="1">IF(DarlehenIstGut,IF(ROW()-ROW(ZahlungsZeitplan[[#Headers],['#]])&gt;PlanmäßigeAnzahlZahlungen,"",ROW()-ROW(ZahlungsZeitplan[[#Headers],['#]])),"")</f>
        <v/>
      </c>
      <c r="C330" s="194" t="str">
        <f ca="1">IF(ZahlungsZeitplan[[#This Row],['#]]&lt;&gt;"",EOMONTH(DarlehensAnfangsDatum,ROW(ZahlungsZeitplan[[#This Row],['#]])-ROW(ZahlungsZeitplan[[#Headers],['#]])-2)+DAY(DarlehensAnfangsDatum),"")</f>
        <v/>
      </c>
      <c r="D330" s="195" t="str">
        <f ca="1">IF(ZahlungsZeitplan[[#This Row],['#]]&lt;&gt;"",IF(ROW()-ROW(ZahlungsZeitplan[[#Headers],[ANFANGSSALDO]])=1,DarlehensBetrag,INDEX(ZahlungsZeitplan[ENDSALDO],ROW()-ROW(ZahlungsZeitplan[[#Headers],[ANFANGSSALDO]])-1)),"")</f>
        <v/>
      </c>
      <c r="E330" s="195" t="str">
        <f ca="1">IF(ZahlungsZeitplan[[#This Row],['#]]&lt;&gt;"",PlanmäßigeZahlung,"")</f>
        <v/>
      </c>
      <c r="F33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0" s="195" t="str">
        <f ca="1">IF(ZahlungsZeitplan[[#This Row],['#]]&lt;&gt;"",ZahlungsZeitplan[[#This Row],[GESAMTZAHLUNG]]-ZahlungsZeitplan[[#This Row],[ZINSEN]],"")</f>
        <v/>
      </c>
      <c r="I330" s="195" t="str">
        <f ca="1">IF(ZahlungsZeitplan[[#This Row],['#]]&lt;=($D$8*12),IF(ZahlungsZeitplan[[#This Row],['#]]&lt;&gt;"",ZahlungsZeitplan[[#This Row],[ANFANGSSALDO]]*(ZinsSatz/ZahlungenProJahr),""),IF(ZahlungsZeitplan[[#This Row],['#]]&lt;&gt;"",ZahlungsZeitplan[[#This Row],[ANFANGSSALDO]]*((ZinsSatz+$D$9)/ZahlungenProJahr),""))</f>
        <v/>
      </c>
      <c r="J330" s="195" t="str">
        <f ca="1">IF(ZahlungsZeitplan[[#This Row],['#]]&lt;&gt;"",IF(ZahlungsZeitplan[[#This Row],[Zahlungen (Plan)]]+ZahlungsZeitplan[[#This Row],[SONDERZAHLUNG]]&lt;=ZahlungsZeitplan[[#This Row],[ANFANGSSALDO]],ZahlungsZeitplan[[#This Row],[ANFANGSSALDO]]-ZahlungsZeitplan[[#This Row],[KAPITAL]],0),"")</f>
        <v/>
      </c>
      <c r="K330" s="195" t="str">
        <f ca="1">IF(ZahlungsZeitplan[[#This Row],['#]]&lt;&gt;"",SUM(INDEX(ZahlungsZeitplan[ZINSEN],1,1):ZahlungsZeitplan[[#This Row],[ZINSEN]]),"")</f>
        <v/>
      </c>
    </row>
    <row r="331" spans="2:11">
      <c r="B331" s="193" t="str">
        <f ca="1">IF(DarlehenIstGut,IF(ROW()-ROW(ZahlungsZeitplan[[#Headers],['#]])&gt;PlanmäßigeAnzahlZahlungen,"",ROW()-ROW(ZahlungsZeitplan[[#Headers],['#]])),"")</f>
        <v/>
      </c>
      <c r="C331" s="194" t="str">
        <f ca="1">IF(ZahlungsZeitplan[[#This Row],['#]]&lt;&gt;"",EOMONTH(DarlehensAnfangsDatum,ROW(ZahlungsZeitplan[[#This Row],['#]])-ROW(ZahlungsZeitplan[[#Headers],['#]])-2)+DAY(DarlehensAnfangsDatum),"")</f>
        <v/>
      </c>
      <c r="D331" s="195" t="str">
        <f ca="1">IF(ZahlungsZeitplan[[#This Row],['#]]&lt;&gt;"",IF(ROW()-ROW(ZahlungsZeitplan[[#Headers],[ANFANGSSALDO]])=1,DarlehensBetrag,INDEX(ZahlungsZeitplan[ENDSALDO],ROW()-ROW(ZahlungsZeitplan[[#Headers],[ANFANGSSALDO]])-1)),"")</f>
        <v/>
      </c>
      <c r="E331" s="195" t="str">
        <f ca="1">IF(ZahlungsZeitplan[[#This Row],['#]]&lt;&gt;"",PlanmäßigeZahlung,"")</f>
        <v/>
      </c>
      <c r="F33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1" s="195" t="str">
        <f ca="1">IF(ZahlungsZeitplan[[#This Row],['#]]&lt;&gt;"",ZahlungsZeitplan[[#This Row],[GESAMTZAHLUNG]]-ZahlungsZeitplan[[#This Row],[ZINSEN]],"")</f>
        <v/>
      </c>
      <c r="I331" s="195" t="str">
        <f ca="1">IF(ZahlungsZeitplan[[#This Row],['#]]&lt;=($D$8*12),IF(ZahlungsZeitplan[[#This Row],['#]]&lt;&gt;"",ZahlungsZeitplan[[#This Row],[ANFANGSSALDO]]*(ZinsSatz/ZahlungenProJahr),""),IF(ZahlungsZeitplan[[#This Row],['#]]&lt;&gt;"",ZahlungsZeitplan[[#This Row],[ANFANGSSALDO]]*((ZinsSatz+$D$9)/ZahlungenProJahr),""))</f>
        <v/>
      </c>
      <c r="J331" s="195" t="str">
        <f ca="1">IF(ZahlungsZeitplan[[#This Row],['#]]&lt;&gt;"",IF(ZahlungsZeitplan[[#This Row],[Zahlungen (Plan)]]+ZahlungsZeitplan[[#This Row],[SONDERZAHLUNG]]&lt;=ZahlungsZeitplan[[#This Row],[ANFANGSSALDO]],ZahlungsZeitplan[[#This Row],[ANFANGSSALDO]]-ZahlungsZeitplan[[#This Row],[KAPITAL]],0),"")</f>
        <v/>
      </c>
      <c r="K331" s="195" t="str">
        <f ca="1">IF(ZahlungsZeitplan[[#This Row],['#]]&lt;&gt;"",SUM(INDEX(ZahlungsZeitplan[ZINSEN],1,1):ZahlungsZeitplan[[#This Row],[ZINSEN]]),"")</f>
        <v/>
      </c>
    </row>
    <row r="332" spans="2:11">
      <c r="B332" s="193" t="str">
        <f ca="1">IF(DarlehenIstGut,IF(ROW()-ROW(ZahlungsZeitplan[[#Headers],['#]])&gt;PlanmäßigeAnzahlZahlungen,"",ROW()-ROW(ZahlungsZeitplan[[#Headers],['#]])),"")</f>
        <v/>
      </c>
      <c r="C332" s="194" t="str">
        <f ca="1">IF(ZahlungsZeitplan[[#This Row],['#]]&lt;&gt;"",EOMONTH(DarlehensAnfangsDatum,ROW(ZahlungsZeitplan[[#This Row],['#]])-ROW(ZahlungsZeitplan[[#Headers],['#]])-2)+DAY(DarlehensAnfangsDatum),"")</f>
        <v/>
      </c>
      <c r="D332" s="195" t="str">
        <f ca="1">IF(ZahlungsZeitplan[[#This Row],['#]]&lt;&gt;"",IF(ROW()-ROW(ZahlungsZeitplan[[#Headers],[ANFANGSSALDO]])=1,DarlehensBetrag,INDEX(ZahlungsZeitplan[ENDSALDO],ROW()-ROW(ZahlungsZeitplan[[#Headers],[ANFANGSSALDO]])-1)),"")</f>
        <v/>
      </c>
      <c r="E332" s="195" t="str">
        <f ca="1">IF(ZahlungsZeitplan[[#This Row],['#]]&lt;&gt;"",PlanmäßigeZahlung,"")</f>
        <v/>
      </c>
      <c r="F33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2" s="195" t="str">
        <f ca="1">IF(ZahlungsZeitplan[[#This Row],['#]]&lt;&gt;"",ZahlungsZeitplan[[#This Row],[GESAMTZAHLUNG]]-ZahlungsZeitplan[[#This Row],[ZINSEN]],"")</f>
        <v/>
      </c>
      <c r="I332" s="195" t="str">
        <f ca="1">IF(ZahlungsZeitplan[[#This Row],['#]]&lt;=($D$8*12),IF(ZahlungsZeitplan[[#This Row],['#]]&lt;&gt;"",ZahlungsZeitplan[[#This Row],[ANFANGSSALDO]]*(ZinsSatz/ZahlungenProJahr),""),IF(ZahlungsZeitplan[[#This Row],['#]]&lt;&gt;"",ZahlungsZeitplan[[#This Row],[ANFANGSSALDO]]*((ZinsSatz+$D$9)/ZahlungenProJahr),""))</f>
        <v/>
      </c>
      <c r="J332" s="195" t="str">
        <f ca="1">IF(ZahlungsZeitplan[[#This Row],['#]]&lt;&gt;"",IF(ZahlungsZeitplan[[#This Row],[Zahlungen (Plan)]]+ZahlungsZeitplan[[#This Row],[SONDERZAHLUNG]]&lt;=ZahlungsZeitplan[[#This Row],[ANFANGSSALDO]],ZahlungsZeitplan[[#This Row],[ANFANGSSALDO]]-ZahlungsZeitplan[[#This Row],[KAPITAL]],0),"")</f>
        <v/>
      </c>
      <c r="K332" s="195" t="str">
        <f ca="1">IF(ZahlungsZeitplan[[#This Row],['#]]&lt;&gt;"",SUM(INDEX(ZahlungsZeitplan[ZINSEN],1,1):ZahlungsZeitplan[[#This Row],[ZINSEN]]),"")</f>
        <v/>
      </c>
    </row>
    <row r="333" spans="2:11">
      <c r="B333" s="193" t="str">
        <f ca="1">IF(DarlehenIstGut,IF(ROW()-ROW(ZahlungsZeitplan[[#Headers],['#]])&gt;PlanmäßigeAnzahlZahlungen,"",ROW()-ROW(ZahlungsZeitplan[[#Headers],['#]])),"")</f>
        <v/>
      </c>
      <c r="C333" s="194" t="str">
        <f ca="1">IF(ZahlungsZeitplan[[#This Row],['#]]&lt;&gt;"",EOMONTH(DarlehensAnfangsDatum,ROW(ZahlungsZeitplan[[#This Row],['#]])-ROW(ZahlungsZeitplan[[#Headers],['#]])-2)+DAY(DarlehensAnfangsDatum),"")</f>
        <v/>
      </c>
      <c r="D333" s="195" t="str">
        <f ca="1">IF(ZahlungsZeitplan[[#This Row],['#]]&lt;&gt;"",IF(ROW()-ROW(ZahlungsZeitplan[[#Headers],[ANFANGSSALDO]])=1,DarlehensBetrag,INDEX(ZahlungsZeitplan[ENDSALDO],ROW()-ROW(ZahlungsZeitplan[[#Headers],[ANFANGSSALDO]])-1)),"")</f>
        <v/>
      </c>
      <c r="E333" s="195" t="str">
        <f ca="1">IF(ZahlungsZeitplan[[#This Row],['#]]&lt;&gt;"",PlanmäßigeZahlung,"")</f>
        <v/>
      </c>
      <c r="F33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3" s="195" t="str">
        <f ca="1">IF(ZahlungsZeitplan[[#This Row],['#]]&lt;&gt;"",ZahlungsZeitplan[[#This Row],[GESAMTZAHLUNG]]-ZahlungsZeitplan[[#This Row],[ZINSEN]],"")</f>
        <v/>
      </c>
      <c r="I333" s="195" t="str">
        <f ca="1">IF(ZahlungsZeitplan[[#This Row],['#]]&lt;=($D$8*12),IF(ZahlungsZeitplan[[#This Row],['#]]&lt;&gt;"",ZahlungsZeitplan[[#This Row],[ANFANGSSALDO]]*(ZinsSatz/ZahlungenProJahr),""),IF(ZahlungsZeitplan[[#This Row],['#]]&lt;&gt;"",ZahlungsZeitplan[[#This Row],[ANFANGSSALDO]]*((ZinsSatz+$D$9)/ZahlungenProJahr),""))</f>
        <v/>
      </c>
      <c r="J333" s="195" t="str">
        <f ca="1">IF(ZahlungsZeitplan[[#This Row],['#]]&lt;&gt;"",IF(ZahlungsZeitplan[[#This Row],[Zahlungen (Plan)]]+ZahlungsZeitplan[[#This Row],[SONDERZAHLUNG]]&lt;=ZahlungsZeitplan[[#This Row],[ANFANGSSALDO]],ZahlungsZeitplan[[#This Row],[ANFANGSSALDO]]-ZahlungsZeitplan[[#This Row],[KAPITAL]],0),"")</f>
        <v/>
      </c>
      <c r="K333" s="195" t="str">
        <f ca="1">IF(ZahlungsZeitplan[[#This Row],['#]]&lt;&gt;"",SUM(INDEX(ZahlungsZeitplan[ZINSEN],1,1):ZahlungsZeitplan[[#This Row],[ZINSEN]]),"")</f>
        <v/>
      </c>
    </row>
    <row r="334" spans="2:11">
      <c r="B334" s="193" t="str">
        <f ca="1">IF(DarlehenIstGut,IF(ROW()-ROW(ZahlungsZeitplan[[#Headers],['#]])&gt;PlanmäßigeAnzahlZahlungen,"",ROW()-ROW(ZahlungsZeitplan[[#Headers],['#]])),"")</f>
        <v/>
      </c>
      <c r="C334" s="194" t="str">
        <f ca="1">IF(ZahlungsZeitplan[[#This Row],['#]]&lt;&gt;"",EOMONTH(DarlehensAnfangsDatum,ROW(ZahlungsZeitplan[[#This Row],['#]])-ROW(ZahlungsZeitplan[[#Headers],['#]])-2)+DAY(DarlehensAnfangsDatum),"")</f>
        <v/>
      </c>
      <c r="D334" s="195" t="str">
        <f ca="1">IF(ZahlungsZeitplan[[#This Row],['#]]&lt;&gt;"",IF(ROW()-ROW(ZahlungsZeitplan[[#Headers],[ANFANGSSALDO]])=1,DarlehensBetrag,INDEX(ZahlungsZeitplan[ENDSALDO],ROW()-ROW(ZahlungsZeitplan[[#Headers],[ANFANGSSALDO]])-1)),"")</f>
        <v/>
      </c>
      <c r="E334" s="195" t="str">
        <f ca="1">IF(ZahlungsZeitplan[[#This Row],['#]]&lt;&gt;"",PlanmäßigeZahlung,"")</f>
        <v/>
      </c>
      <c r="F33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4" s="195" t="str">
        <f ca="1">IF(ZahlungsZeitplan[[#This Row],['#]]&lt;&gt;"",ZahlungsZeitplan[[#This Row],[GESAMTZAHLUNG]]-ZahlungsZeitplan[[#This Row],[ZINSEN]],"")</f>
        <v/>
      </c>
      <c r="I334" s="195" t="str">
        <f ca="1">IF(ZahlungsZeitplan[[#This Row],['#]]&lt;=($D$8*12),IF(ZahlungsZeitplan[[#This Row],['#]]&lt;&gt;"",ZahlungsZeitplan[[#This Row],[ANFANGSSALDO]]*(ZinsSatz/ZahlungenProJahr),""),IF(ZahlungsZeitplan[[#This Row],['#]]&lt;&gt;"",ZahlungsZeitplan[[#This Row],[ANFANGSSALDO]]*((ZinsSatz+$D$9)/ZahlungenProJahr),""))</f>
        <v/>
      </c>
      <c r="J334" s="195" t="str">
        <f ca="1">IF(ZahlungsZeitplan[[#This Row],['#]]&lt;&gt;"",IF(ZahlungsZeitplan[[#This Row],[Zahlungen (Plan)]]+ZahlungsZeitplan[[#This Row],[SONDERZAHLUNG]]&lt;=ZahlungsZeitplan[[#This Row],[ANFANGSSALDO]],ZahlungsZeitplan[[#This Row],[ANFANGSSALDO]]-ZahlungsZeitplan[[#This Row],[KAPITAL]],0),"")</f>
        <v/>
      </c>
      <c r="K334" s="195" t="str">
        <f ca="1">IF(ZahlungsZeitplan[[#This Row],['#]]&lt;&gt;"",SUM(INDEX(ZahlungsZeitplan[ZINSEN],1,1):ZahlungsZeitplan[[#This Row],[ZINSEN]]),"")</f>
        <v/>
      </c>
    </row>
    <row r="335" spans="2:11">
      <c r="B335" s="193" t="str">
        <f ca="1">IF(DarlehenIstGut,IF(ROW()-ROW(ZahlungsZeitplan[[#Headers],['#]])&gt;PlanmäßigeAnzahlZahlungen,"",ROW()-ROW(ZahlungsZeitplan[[#Headers],['#]])),"")</f>
        <v/>
      </c>
      <c r="C335" s="194" t="str">
        <f ca="1">IF(ZahlungsZeitplan[[#This Row],['#]]&lt;&gt;"",EOMONTH(DarlehensAnfangsDatum,ROW(ZahlungsZeitplan[[#This Row],['#]])-ROW(ZahlungsZeitplan[[#Headers],['#]])-2)+DAY(DarlehensAnfangsDatum),"")</f>
        <v/>
      </c>
      <c r="D335" s="195" t="str">
        <f ca="1">IF(ZahlungsZeitplan[[#This Row],['#]]&lt;&gt;"",IF(ROW()-ROW(ZahlungsZeitplan[[#Headers],[ANFANGSSALDO]])=1,DarlehensBetrag,INDEX(ZahlungsZeitplan[ENDSALDO],ROW()-ROW(ZahlungsZeitplan[[#Headers],[ANFANGSSALDO]])-1)),"")</f>
        <v/>
      </c>
      <c r="E335" s="195" t="str">
        <f ca="1">IF(ZahlungsZeitplan[[#This Row],['#]]&lt;&gt;"",PlanmäßigeZahlung,"")</f>
        <v/>
      </c>
      <c r="F33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5" s="195" t="str">
        <f ca="1">IF(ZahlungsZeitplan[[#This Row],['#]]&lt;&gt;"",ZahlungsZeitplan[[#This Row],[GESAMTZAHLUNG]]-ZahlungsZeitplan[[#This Row],[ZINSEN]],"")</f>
        <v/>
      </c>
      <c r="I335" s="195" t="str">
        <f ca="1">IF(ZahlungsZeitplan[[#This Row],['#]]&lt;=($D$8*12),IF(ZahlungsZeitplan[[#This Row],['#]]&lt;&gt;"",ZahlungsZeitplan[[#This Row],[ANFANGSSALDO]]*(ZinsSatz/ZahlungenProJahr),""),IF(ZahlungsZeitplan[[#This Row],['#]]&lt;&gt;"",ZahlungsZeitplan[[#This Row],[ANFANGSSALDO]]*((ZinsSatz+$D$9)/ZahlungenProJahr),""))</f>
        <v/>
      </c>
      <c r="J335" s="195" t="str">
        <f ca="1">IF(ZahlungsZeitplan[[#This Row],['#]]&lt;&gt;"",IF(ZahlungsZeitplan[[#This Row],[Zahlungen (Plan)]]+ZahlungsZeitplan[[#This Row],[SONDERZAHLUNG]]&lt;=ZahlungsZeitplan[[#This Row],[ANFANGSSALDO]],ZahlungsZeitplan[[#This Row],[ANFANGSSALDO]]-ZahlungsZeitplan[[#This Row],[KAPITAL]],0),"")</f>
        <v/>
      </c>
      <c r="K335" s="195" t="str">
        <f ca="1">IF(ZahlungsZeitplan[[#This Row],['#]]&lt;&gt;"",SUM(INDEX(ZahlungsZeitplan[ZINSEN],1,1):ZahlungsZeitplan[[#This Row],[ZINSEN]]),"")</f>
        <v/>
      </c>
    </row>
    <row r="336" spans="2:11">
      <c r="B336" s="193" t="str">
        <f ca="1">IF(DarlehenIstGut,IF(ROW()-ROW(ZahlungsZeitplan[[#Headers],['#]])&gt;PlanmäßigeAnzahlZahlungen,"",ROW()-ROW(ZahlungsZeitplan[[#Headers],['#]])),"")</f>
        <v/>
      </c>
      <c r="C336" s="194" t="str">
        <f ca="1">IF(ZahlungsZeitplan[[#This Row],['#]]&lt;&gt;"",EOMONTH(DarlehensAnfangsDatum,ROW(ZahlungsZeitplan[[#This Row],['#]])-ROW(ZahlungsZeitplan[[#Headers],['#]])-2)+DAY(DarlehensAnfangsDatum),"")</f>
        <v/>
      </c>
      <c r="D336" s="195" t="str">
        <f ca="1">IF(ZahlungsZeitplan[[#This Row],['#]]&lt;&gt;"",IF(ROW()-ROW(ZahlungsZeitplan[[#Headers],[ANFANGSSALDO]])=1,DarlehensBetrag,INDEX(ZahlungsZeitplan[ENDSALDO],ROW()-ROW(ZahlungsZeitplan[[#Headers],[ANFANGSSALDO]])-1)),"")</f>
        <v/>
      </c>
      <c r="E336" s="195" t="str">
        <f ca="1">IF(ZahlungsZeitplan[[#This Row],['#]]&lt;&gt;"",PlanmäßigeZahlung,"")</f>
        <v/>
      </c>
      <c r="F33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6" s="195" t="str">
        <f ca="1">IF(ZahlungsZeitplan[[#This Row],['#]]&lt;&gt;"",ZahlungsZeitplan[[#This Row],[GESAMTZAHLUNG]]-ZahlungsZeitplan[[#This Row],[ZINSEN]],"")</f>
        <v/>
      </c>
      <c r="I336" s="195" t="str">
        <f ca="1">IF(ZahlungsZeitplan[[#This Row],['#]]&lt;=($D$8*12),IF(ZahlungsZeitplan[[#This Row],['#]]&lt;&gt;"",ZahlungsZeitplan[[#This Row],[ANFANGSSALDO]]*(ZinsSatz/ZahlungenProJahr),""),IF(ZahlungsZeitplan[[#This Row],['#]]&lt;&gt;"",ZahlungsZeitplan[[#This Row],[ANFANGSSALDO]]*((ZinsSatz+$D$9)/ZahlungenProJahr),""))</f>
        <v/>
      </c>
      <c r="J336" s="195" t="str">
        <f ca="1">IF(ZahlungsZeitplan[[#This Row],['#]]&lt;&gt;"",IF(ZahlungsZeitplan[[#This Row],[Zahlungen (Plan)]]+ZahlungsZeitplan[[#This Row],[SONDERZAHLUNG]]&lt;=ZahlungsZeitplan[[#This Row],[ANFANGSSALDO]],ZahlungsZeitplan[[#This Row],[ANFANGSSALDO]]-ZahlungsZeitplan[[#This Row],[KAPITAL]],0),"")</f>
        <v/>
      </c>
      <c r="K336" s="195" t="str">
        <f ca="1">IF(ZahlungsZeitplan[[#This Row],['#]]&lt;&gt;"",SUM(INDEX(ZahlungsZeitplan[ZINSEN],1,1):ZahlungsZeitplan[[#This Row],[ZINSEN]]),"")</f>
        <v/>
      </c>
    </row>
    <row r="337" spans="2:11">
      <c r="B337" s="193" t="str">
        <f ca="1">IF(DarlehenIstGut,IF(ROW()-ROW(ZahlungsZeitplan[[#Headers],['#]])&gt;PlanmäßigeAnzahlZahlungen,"",ROW()-ROW(ZahlungsZeitplan[[#Headers],['#]])),"")</f>
        <v/>
      </c>
      <c r="C337" s="194" t="str">
        <f ca="1">IF(ZahlungsZeitplan[[#This Row],['#]]&lt;&gt;"",EOMONTH(DarlehensAnfangsDatum,ROW(ZahlungsZeitplan[[#This Row],['#]])-ROW(ZahlungsZeitplan[[#Headers],['#]])-2)+DAY(DarlehensAnfangsDatum),"")</f>
        <v/>
      </c>
      <c r="D337" s="195" t="str">
        <f ca="1">IF(ZahlungsZeitplan[[#This Row],['#]]&lt;&gt;"",IF(ROW()-ROW(ZahlungsZeitplan[[#Headers],[ANFANGSSALDO]])=1,DarlehensBetrag,INDEX(ZahlungsZeitplan[ENDSALDO],ROW()-ROW(ZahlungsZeitplan[[#Headers],[ANFANGSSALDO]])-1)),"")</f>
        <v/>
      </c>
      <c r="E337" s="195" t="str">
        <f ca="1">IF(ZahlungsZeitplan[[#This Row],['#]]&lt;&gt;"",PlanmäßigeZahlung,"")</f>
        <v/>
      </c>
      <c r="F33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7" s="195" t="str">
        <f ca="1">IF(ZahlungsZeitplan[[#This Row],['#]]&lt;&gt;"",ZahlungsZeitplan[[#This Row],[GESAMTZAHLUNG]]-ZahlungsZeitplan[[#This Row],[ZINSEN]],"")</f>
        <v/>
      </c>
      <c r="I337" s="195" t="str">
        <f ca="1">IF(ZahlungsZeitplan[[#This Row],['#]]&lt;=($D$8*12),IF(ZahlungsZeitplan[[#This Row],['#]]&lt;&gt;"",ZahlungsZeitplan[[#This Row],[ANFANGSSALDO]]*(ZinsSatz/ZahlungenProJahr),""),IF(ZahlungsZeitplan[[#This Row],['#]]&lt;&gt;"",ZahlungsZeitplan[[#This Row],[ANFANGSSALDO]]*((ZinsSatz+$D$9)/ZahlungenProJahr),""))</f>
        <v/>
      </c>
      <c r="J337" s="195" t="str">
        <f ca="1">IF(ZahlungsZeitplan[[#This Row],['#]]&lt;&gt;"",IF(ZahlungsZeitplan[[#This Row],[Zahlungen (Plan)]]+ZahlungsZeitplan[[#This Row],[SONDERZAHLUNG]]&lt;=ZahlungsZeitplan[[#This Row],[ANFANGSSALDO]],ZahlungsZeitplan[[#This Row],[ANFANGSSALDO]]-ZahlungsZeitplan[[#This Row],[KAPITAL]],0),"")</f>
        <v/>
      </c>
      <c r="K337" s="195" t="str">
        <f ca="1">IF(ZahlungsZeitplan[[#This Row],['#]]&lt;&gt;"",SUM(INDEX(ZahlungsZeitplan[ZINSEN],1,1):ZahlungsZeitplan[[#This Row],[ZINSEN]]),"")</f>
        <v/>
      </c>
    </row>
    <row r="338" spans="2:11">
      <c r="B338" s="193" t="str">
        <f ca="1">IF(DarlehenIstGut,IF(ROW()-ROW(ZahlungsZeitplan[[#Headers],['#]])&gt;PlanmäßigeAnzahlZahlungen,"",ROW()-ROW(ZahlungsZeitplan[[#Headers],['#]])),"")</f>
        <v/>
      </c>
      <c r="C338" s="194" t="str">
        <f ca="1">IF(ZahlungsZeitplan[[#This Row],['#]]&lt;&gt;"",EOMONTH(DarlehensAnfangsDatum,ROW(ZahlungsZeitplan[[#This Row],['#]])-ROW(ZahlungsZeitplan[[#Headers],['#]])-2)+DAY(DarlehensAnfangsDatum),"")</f>
        <v/>
      </c>
      <c r="D338" s="195" t="str">
        <f ca="1">IF(ZahlungsZeitplan[[#This Row],['#]]&lt;&gt;"",IF(ROW()-ROW(ZahlungsZeitplan[[#Headers],[ANFANGSSALDO]])=1,DarlehensBetrag,INDEX(ZahlungsZeitplan[ENDSALDO],ROW()-ROW(ZahlungsZeitplan[[#Headers],[ANFANGSSALDO]])-1)),"")</f>
        <v/>
      </c>
      <c r="E338" s="195" t="str">
        <f ca="1">IF(ZahlungsZeitplan[[#This Row],['#]]&lt;&gt;"",PlanmäßigeZahlung,"")</f>
        <v/>
      </c>
      <c r="F33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8" s="195" t="str">
        <f ca="1">IF(ZahlungsZeitplan[[#This Row],['#]]&lt;&gt;"",ZahlungsZeitplan[[#This Row],[GESAMTZAHLUNG]]-ZahlungsZeitplan[[#This Row],[ZINSEN]],"")</f>
        <v/>
      </c>
      <c r="I338" s="195" t="str">
        <f ca="1">IF(ZahlungsZeitplan[[#This Row],['#]]&lt;=($D$8*12),IF(ZahlungsZeitplan[[#This Row],['#]]&lt;&gt;"",ZahlungsZeitplan[[#This Row],[ANFANGSSALDO]]*(ZinsSatz/ZahlungenProJahr),""),IF(ZahlungsZeitplan[[#This Row],['#]]&lt;&gt;"",ZahlungsZeitplan[[#This Row],[ANFANGSSALDO]]*((ZinsSatz+$D$9)/ZahlungenProJahr),""))</f>
        <v/>
      </c>
      <c r="J338" s="195" t="str">
        <f ca="1">IF(ZahlungsZeitplan[[#This Row],['#]]&lt;&gt;"",IF(ZahlungsZeitplan[[#This Row],[Zahlungen (Plan)]]+ZahlungsZeitplan[[#This Row],[SONDERZAHLUNG]]&lt;=ZahlungsZeitplan[[#This Row],[ANFANGSSALDO]],ZahlungsZeitplan[[#This Row],[ANFANGSSALDO]]-ZahlungsZeitplan[[#This Row],[KAPITAL]],0),"")</f>
        <v/>
      </c>
      <c r="K338" s="195" t="str">
        <f ca="1">IF(ZahlungsZeitplan[[#This Row],['#]]&lt;&gt;"",SUM(INDEX(ZahlungsZeitplan[ZINSEN],1,1):ZahlungsZeitplan[[#This Row],[ZINSEN]]),"")</f>
        <v/>
      </c>
    </row>
    <row r="339" spans="2:11">
      <c r="B339" s="193" t="str">
        <f ca="1">IF(DarlehenIstGut,IF(ROW()-ROW(ZahlungsZeitplan[[#Headers],['#]])&gt;PlanmäßigeAnzahlZahlungen,"",ROW()-ROW(ZahlungsZeitplan[[#Headers],['#]])),"")</f>
        <v/>
      </c>
      <c r="C339" s="194" t="str">
        <f ca="1">IF(ZahlungsZeitplan[[#This Row],['#]]&lt;&gt;"",EOMONTH(DarlehensAnfangsDatum,ROW(ZahlungsZeitplan[[#This Row],['#]])-ROW(ZahlungsZeitplan[[#Headers],['#]])-2)+DAY(DarlehensAnfangsDatum),"")</f>
        <v/>
      </c>
      <c r="D339" s="195" t="str">
        <f ca="1">IF(ZahlungsZeitplan[[#This Row],['#]]&lt;&gt;"",IF(ROW()-ROW(ZahlungsZeitplan[[#Headers],[ANFANGSSALDO]])=1,DarlehensBetrag,INDEX(ZahlungsZeitplan[ENDSALDO],ROW()-ROW(ZahlungsZeitplan[[#Headers],[ANFANGSSALDO]])-1)),"")</f>
        <v/>
      </c>
      <c r="E339" s="195" t="str">
        <f ca="1">IF(ZahlungsZeitplan[[#This Row],['#]]&lt;&gt;"",PlanmäßigeZahlung,"")</f>
        <v/>
      </c>
      <c r="F33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3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39" s="195" t="str">
        <f ca="1">IF(ZahlungsZeitplan[[#This Row],['#]]&lt;&gt;"",ZahlungsZeitplan[[#This Row],[GESAMTZAHLUNG]]-ZahlungsZeitplan[[#This Row],[ZINSEN]],"")</f>
        <v/>
      </c>
      <c r="I339" s="195" t="str">
        <f ca="1">IF(ZahlungsZeitplan[[#This Row],['#]]&lt;=($D$8*12),IF(ZahlungsZeitplan[[#This Row],['#]]&lt;&gt;"",ZahlungsZeitplan[[#This Row],[ANFANGSSALDO]]*(ZinsSatz/ZahlungenProJahr),""),IF(ZahlungsZeitplan[[#This Row],['#]]&lt;&gt;"",ZahlungsZeitplan[[#This Row],[ANFANGSSALDO]]*((ZinsSatz+$D$9)/ZahlungenProJahr),""))</f>
        <v/>
      </c>
      <c r="J339" s="195" t="str">
        <f ca="1">IF(ZahlungsZeitplan[[#This Row],['#]]&lt;&gt;"",IF(ZahlungsZeitplan[[#This Row],[Zahlungen (Plan)]]+ZahlungsZeitplan[[#This Row],[SONDERZAHLUNG]]&lt;=ZahlungsZeitplan[[#This Row],[ANFANGSSALDO]],ZahlungsZeitplan[[#This Row],[ANFANGSSALDO]]-ZahlungsZeitplan[[#This Row],[KAPITAL]],0),"")</f>
        <v/>
      </c>
      <c r="K339" s="195" t="str">
        <f ca="1">IF(ZahlungsZeitplan[[#This Row],['#]]&lt;&gt;"",SUM(INDEX(ZahlungsZeitplan[ZINSEN],1,1):ZahlungsZeitplan[[#This Row],[ZINSEN]]),"")</f>
        <v/>
      </c>
    </row>
    <row r="340" spans="2:11">
      <c r="B340" s="193" t="str">
        <f ca="1">IF(DarlehenIstGut,IF(ROW()-ROW(ZahlungsZeitplan[[#Headers],['#]])&gt;PlanmäßigeAnzahlZahlungen,"",ROW()-ROW(ZahlungsZeitplan[[#Headers],['#]])),"")</f>
        <v/>
      </c>
      <c r="C340" s="194" t="str">
        <f ca="1">IF(ZahlungsZeitplan[[#This Row],['#]]&lt;&gt;"",EOMONTH(DarlehensAnfangsDatum,ROW(ZahlungsZeitplan[[#This Row],['#]])-ROW(ZahlungsZeitplan[[#Headers],['#]])-2)+DAY(DarlehensAnfangsDatum),"")</f>
        <v/>
      </c>
      <c r="D340" s="195" t="str">
        <f ca="1">IF(ZahlungsZeitplan[[#This Row],['#]]&lt;&gt;"",IF(ROW()-ROW(ZahlungsZeitplan[[#Headers],[ANFANGSSALDO]])=1,DarlehensBetrag,INDEX(ZahlungsZeitplan[ENDSALDO],ROW()-ROW(ZahlungsZeitplan[[#Headers],[ANFANGSSALDO]])-1)),"")</f>
        <v/>
      </c>
      <c r="E340" s="195" t="str">
        <f ca="1">IF(ZahlungsZeitplan[[#This Row],['#]]&lt;&gt;"",PlanmäßigeZahlung,"")</f>
        <v/>
      </c>
      <c r="F34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0" s="195" t="str">
        <f ca="1">IF(ZahlungsZeitplan[[#This Row],['#]]&lt;&gt;"",ZahlungsZeitplan[[#This Row],[GESAMTZAHLUNG]]-ZahlungsZeitplan[[#This Row],[ZINSEN]],"")</f>
        <v/>
      </c>
      <c r="I340" s="195" t="str">
        <f ca="1">IF(ZahlungsZeitplan[[#This Row],['#]]&lt;=($D$8*12),IF(ZahlungsZeitplan[[#This Row],['#]]&lt;&gt;"",ZahlungsZeitplan[[#This Row],[ANFANGSSALDO]]*(ZinsSatz/ZahlungenProJahr),""),IF(ZahlungsZeitplan[[#This Row],['#]]&lt;&gt;"",ZahlungsZeitplan[[#This Row],[ANFANGSSALDO]]*((ZinsSatz+$D$9)/ZahlungenProJahr),""))</f>
        <v/>
      </c>
      <c r="J340" s="195" t="str">
        <f ca="1">IF(ZahlungsZeitplan[[#This Row],['#]]&lt;&gt;"",IF(ZahlungsZeitplan[[#This Row],[Zahlungen (Plan)]]+ZahlungsZeitplan[[#This Row],[SONDERZAHLUNG]]&lt;=ZahlungsZeitplan[[#This Row],[ANFANGSSALDO]],ZahlungsZeitplan[[#This Row],[ANFANGSSALDO]]-ZahlungsZeitplan[[#This Row],[KAPITAL]],0),"")</f>
        <v/>
      </c>
      <c r="K340" s="195" t="str">
        <f ca="1">IF(ZahlungsZeitplan[[#This Row],['#]]&lt;&gt;"",SUM(INDEX(ZahlungsZeitplan[ZINSEN],1,1):ZahlungsZeitplan[[#This Row],[ZINSEN]]),"")</f>
        <v/>
      </c>
    </row>
    <row r="341" spans="2:11">
      <c r="B341" s="193" t="str">
        <f ca="1">IF(DarlehenIstGut,IF(ROW()-ROW(ZahlungsZeitplan[[#Headers],['#]])&gt;PlanmäßigeAnzahlZahlungen,"",ROW()-ROW(ZahlungsZeitplan[[#Headers],['#]])),"")</f>
        <v/>
      </c>
      <c r="C341" s="194" t="str">
        <f ca="1">IF(ZahlungsZeitplan[[#This Row],['#]]&lt;&gt;"",EOMONTH(DarlehensAnfangsDatum,ROW(ZahlungsZeitplan[[#This Row],['#]])-ROW(ZahlungsZeitplan[[#Headers],['#]])-2)+DAY(DarlehensAnfangsDatum),"")</f>
        <v/>
      </c>
      <c r="D341" s="195" t="str">
        <f ca="1">IF(ZahlungsZeitplan[[#This Row],['#]]&lt;&gt;"",IF(ROW()-ROW(ZahlungsZeitplan[[#Headers],[ANFANGSSALDO]])=1,DarlehensBetrag,INDEX(ZahlungsZeitplan[ENDSALDO],ROW()-ROW(ZahlungsZeitplan[[#Headers],[ANFANGSSALDO]])-1)),"")</f>
        <v/>
      </c>
      <c r="E341" s="195" t="str">
        <f ca="1">IF(ZahlungsZeitplan[[#This Row],['#]]&lt;&gt;"",PlanmäßigeZahlung,"")</f>
        <v/>
      </c>
      <c r="F34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1" s="195" t="str">
        <f ca="1">IF(ZahlungsZeitplan[[#This Row],['#]]&lt;&gt;"",ZahlungsZeitplan[[#This Row],[GESAMTZAHLUNG]]-ZahlungsZeitplan[[#This Row],[ZINSEN]],"")</f>
        <v/>
      </c>
      <c r="I341" s="195" t="str">
        <f ca="1">IF(ZahlungsZeitplan[[#This Row],['#]]&lt;=($D$8*12),IF(ZahlungsZeitplan[[#This Row],['#]]&lt;&gt;"",ZahlungsZeitplan[[#This Row],[ANFANGSSALDO]]*(ZinsSatz/ZahlungenProJahr),""),IF(ZahlungsZeitplan[[#This Row],['#]]&lt;&gt;"",ZahlungsZeitplan[[#This Row],[ANFANGSSALDO]]*((ZinsSatz+$D$9)/ZahlungenProJahr),""))</f>
        <v/>
      </c>
      <c r="J341" s="195" t="str">
        <f ca="1">IF(ZahlungsZeitplan[[#This Row],['#]]&lt;&gt;"",IF(ZahlungsZeitplan[[#This Row],[Zahlungen (Plan)]]+ZahlungsZeitplan[[#This Row],[SONDERZAHLUNG]]&lt;=ZahlungsZeitplan[[#This Row],[ANFANGSSALDO]],ZahlungsZeitplan[[#This Row],[ANFANGSSALDO]]-ZahlungsZeitplan[[#This Row],[KAPITAL]],0),"")</f>
        <v/>
      </c>
      <c r="K341" s="195" t="str">
        <f ca="1">IF(ZahlungsZeitplan[[#This Row],['#]]&lt;&gt;"",SUM(INDEX(ZahlungsZeitplan[ZINSEN],1,1):ZahlungsZeitplan[[#This Row],[ZINSEN]]),"")</f>
        <v/>
      </c>
    </row>
    <row r="342" spans="2:11">
      <c r="B342" s="193" t="str">
        <f ca="1">IF(DarlehenIstGut,IF(ROW()-ROW(ZahlungsZeitplan[[#Headers],['#]])&gt;PlanmäßigeAnzahlZahlungen,"",ROW()-ROW(ZahlungsZeitplan[[#Headers],['#]])),"")</f>
        <v/>
      </c>
      <c r="C342" s="194" t="str">
        <f ca="1">IF(ZahlungsZeitplan[[#This Row],['#]]&lt;&gt;"",EOMONTH(DarlehensAnfangsDatum,ROW(ZahlungsZeitplan[[#This Row],['#]])-ROW(ZahlungsZeitplan[[#Headers],['#]])-2)+DAY(DarlehensAnfangsDatum),"")</f>
        <v/>
      </c>
      <c r="D342" s="195" t="str">
        <f ca="1">IF(ZahlungsZeitplan[[#This Row],['#]]&lt;&gt;"",IF(ROW()-ROW(ZahlungsZeitplan[[#Headers],[ANFANGSSALDO]])=1,DarlehensBetrag,INDEX(ZahlungsZeitplan[ENDSALDO],ROW()-ROW(ZahlungsZeitplan[[#Headers],[ANFANGSSALDO]])-1)),"")</f>
        <v/>
      </c>
      <c r="E342" s="195" t="str">
        <f ca="1">IF(ZahlungsZeitplan[[#This Row],['#]]&lt;&gt;"",PlanmäßigeZahlung,"")</f>
        <v/>
      </c>
      <c r="F34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2" s="195" t="str">
        <f ca="1">IF(ZahlungsZeitplan[[#This Row],['#]]&lt;&gt;"",ZahlungsZeitplan[[#This Row],[GESAMTZAHLUNG]]-ZahlungsZeitplan[[#This Row],[ZINSEN]],"")</f>
        <v/>
      </c>
      <c r="I342" s="195" t="str">
        <f ca="1">IF(ZahlungsZeitplan[[#This Row],['#]]&lt;=($D$8*12),IF(ZahlungsZeitplan[[#This Row],['#]]&lt;&gt;"",ZahlungsZeitplan[[#This Row],[ANFANGSSALDO]]*(ZinsSatz/ZahlungenProJahr),""),IF(ZahlungsZeitplan[[#This Row],['#]]&lt;&gt;"",ZahlungsZeitplan[[#This Row],[ANFANGSSALDO]]*((ZinsSatz+$D$9)/ZahlungenProJahr),""))</f>
        <v/>
      </c>
      <c r="J342" s="195" t="str">
        <f ca="1">IF(ZahlungsZeitplan[[#This Row],['#]]&lt;&gt;"",IF(ZahlungsZeitplan[[#This Row],[Zahlungen (Plan)]]+ZahlungsZeitplan[[#This Row],[SONDERZAHLUNG]]&lt;=ZahlungsZeitplan[[#This Row],[ANFANGSSALDO]],ZahlungsZeitplan[[#This Row],[ANFANGSSALDO]]-ZahlungsZeitplan[[#This Row],[KAPITAL]],0),"")</f>
        <v/>
      </c>
      <c r="K342" s="195" t="str">
        <f ca="1">IF(ZahlungsZeitplan[[#This Row],['#]]&lt;&gt;"",SUM(INDEX(ZahlungsZeitplan[ZINSEN],1,1):ZahlungsZeitplan[[#This Row],[ZINSEN]]),"")</f>
        <v/>
      </c>
    </row>
    <row r="343" spans="2:11">
      <c r="B343" s="193" t="str">
        <f ca="1">IF(DarlehenIstGut,IF(ROW()-ROW(ZahlungsZeitplan[[#Headers],['#]])&gt;PlanmäßigeAnzahlZahlungen,"",ROW()-ROW(ZahlungsZeitplan[[#Headers],['#]])),"")</f>
        <v/>
      </c>
      <c r="C343" s="194" t="str">
        <f ca="1">IF(ZahlungsZeitplan[[#This Row],['#]]&lt;&gt;"",EOMONTH(DarlehensAnfangsDatum,ROW(ZahlungsZeitplan[[#This Row],['#]])-ROW(ZahlungsZeitplan[[#Headers],['#]])-2)+DAY(DarlehensAnfangsDatum),"")</f>
        <v/>
      </c>
      <c r="D343" s="195" t="str">
        <f ca="1">IF(ZahlungsZeitplan[[#This Row],['#]]&lt;&gt;"",IF(ROW()-ROW(ZahlungsZeitplan[[#Headers],[ANFANGSSALDO]])=1,DarlehensBetrag,INDEX(ZahlungsZeitplan[ENDSALDO],ROW()-ROW(ZahlungsZeitplan[[#Headers],[ANFANGSSALDO]])-1)),"")</f>
        <v/>
      </c>
      <c r="E343" s="195" t="str">
        <f ca="1">IF(ZahlungsZeitplan[[#This Row],['#]]&lt;&gt;"",PlanmäßigeZahlung,"")</f>
        <v/>
      </c>
      <c r="F34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3" s="195" t="str">
        <f ca="1">IF(ZahlungsZeitplan[[#This Row],['#]]&lt;&gt;"",ZahlungsZeitplan[[#This Row],[GESAMTZAHLUNG]]-ZahlungsZeitplan[[#This Row],[ZINSEN]],"")</f>
        <v/>
      </c>
      <c r="I343" s="195" t="str">
        <f ca="1">IF(ZahlungsZeitplan[[#This Row],['#]]&lt;=($D$8*12),IF(ZahlungsZeitplan[[#This Row],['#]]&lt;&gt;"",ZahlungsZeitplan[[#This Row],[ANFANGSSALDO]]*(ZinsSatz/ZahlungenProJahr),""),IF(ZahlungsZeitplan[[#This Row],['#]]&lt;&gt;"",ZahlungsZeitplan[[#This Row],[ANFANGSSALDO]]*((ZinsSatz+$D$9)/ZahlungenProJahr),""))</f>
        <v/>
      </c>
      <c r="J343" s="195" t="str">
        <f ca="1">IF(ZahlungsZeitplan[[#This Row],['#]]&lt;&gt;"",IF(ZahlungsZeitplan[[#This Row],[Zahlungen (Plan)]]+ZahlungsZeitplan[[#This Row],[SONDERZAHLUNG]]&lt;=ZahlungsZeitplan[[#This Row],[ANFANGSSALDO]],ZahlungsZeitplan[[#This Row],[ANFANGSSALDO]]-ZahlungsZeitplan[[#This Row],[KAPITAL]],0),"")</f>
        <v/>
      </c>
      <c r="K343" s="195" t="str">
        <f ca="1">IF(ZahlungsZeitplan[[#This Row],['#]]&lt;&gt;"",SUM(INDEX(ZahlungsZeitplan[ZINSEN],1,1):ZahlungsZeitplan[[#This Row],[ZINSEN]]),"")</f>
        <v/>
      </c>
    </row>
    <row r="344" spans="2:11">
      <c r="B344" s="193" t="str">
        <f ca="1">IF(DarlehenIstGut,IF(ROW()-ROW(ZahlungsZeitplan[[#Headers],['#]])&gt;PlanmäßigeAnzahlZahlungen,"",ROW()-ROW(ZahlungsZeitplan[[#Headers],['#]])),"")</f>
        <v/>
      </c>
      <c r="C344" s="194" t="str">
        <f ca="1">IF(ZahlungsZeitplan[[#This Row],['#]]&lt;&gt;"",EOMONTH(DarlehensAnfangsDatum,ROW(ZahlungsZeitplan[[#This Row],['#]])-ROW(ZahlungsZeitplan[[#Headers],['#]])-2)+DAY(DarlehensAnfangsDatum),"")</f>
        <v/>
      </c>
      <c r="D344" s="195" t="str">
        <f ca="1">IF(ZahlungsZeitplan[[#This Row],['#]]&lt;&gt;"",IF(ROW()-ROW(ZahlungsZeitplan[[#Headers],[ANFANGSSALDO]])=1,DarlehensBetrag,INDEX(ZahlungsZeitplan[ENDSALDO],ROW()-ROW(ZahlungsZeitplan[[#Headers],[ANFANGSSALDO]])-1)),"")</f>
        <v/>
      </c>
      <c r="E344" s="195" t="str">
        <f ca="1">IF(ZahlungsZeitplan[[#This Row],['#]]&lt;&gt;"",PlanmäßigeZahlung,"")</f>
        <v/>
      </c>
      <c r="F34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4" s="195" t="str">
        <f ca="1">IF(ZahlungsZeitplan[[#This Row],['#]]&lt;&gt;"",ZahlungsZeitplan[[#This Row],[GESAMTZAHLUNG]]-ZahlungsZeitplan[[#This Row],[ZINSEN]],"")</f>
        <v/>
      </c>
      <c r="I344" s="195" t="str">
        <f ca="1">IF(ZahlungsZeitplan[[#This Row],['#]]&lt;=($D$8*12),IF(ZahlungsZeitplan[[#This Row],['#]]&lt;&gt;"",ZahlungsZeitplan[[#This Row],[ANFANGSSALDO]]*(ZinsSatz/ZahlungenProJahr),""),IF(ZahlungsZeitplan[[#This Row],['#]]&lt;&gt;"",ZahlungsZeitplan[[#This Row],[ANFANGSSALDO]]*((ZinsSatz+$D$9)/ZahlungenProJahr),""))</f>
        <v/>
      </c>
      <c r="J344" s="195" t="str">
        <f ca="1">IF(ZahlungsZeitplan[[#This Row],['#]]&lt;&gt;"",IF(ZahlungsZeitplan[[#This Row],[Zahlungen (Plan)]]+ZahlungsZeitplan[[#This Row],[SONDERZAHLUNG]]&lt;=ZahlungsZeitplan[[#This Row],[ANFANGSSALDO]],ZahlungsZeitplan[[#This Row],[ANFANGSSALDO]]-ZahlungsZeitplan[[#This Row],[KAPITAL]],0),"")</f>
        <v/>
      </c>
      <c r="K344" s="195" t="str">
        <f ca="1">IF(ZahlungsZeitplan[[#This Row],['#]]&lt;&gt;"",SUM(INDEX(ZahlungsZeitplan[ZINSEN],1,1):ZahlungsZeitplan[[#This Row],[ZINSEN]]),"")</f>
        <v/>
      </c>
    </row>
    <row r="345" spans="2:11">
      <c r="B345" s="193" t="str">
        <f ca="1">IF(DarlehenIstGut,IF(ROW()-ROW(ZahlungsZeitplan[[#Headers],['#]])&gt;PlanmäßigeAnzahlZahlungen,"",ROW()-ROW(ZahlungsZeitplan[[#Headers],['#]])),"")</f>
        <v/>
      </c>
      <c r="C345" s="194" t="str">
        <f ca="1">IF(ZahlungsZeitplan[[#This Row],['#]]&lt;&gt;"",EOMONTH(DarlehensAnfangsDatum,ROW(ZahlungsZeitplan[[#This Row],['#]])-ROW(ZahlungsZeitplan[[#Headers],['#]])-2)+DAY(DarlehensAnfangsDatum),"")</f>
        <v/>
      </c>
      <c r="D345" s="195" t="str">
        <f ca="1">IF(ZahlungsZeitplan[[#This Row],['#]]&lt;&gt;"",IF(ROW()-ROW(ZahlungsZeitplan[[#Headers],[ANFANGSSALDO]])=1,DarlehensBetrag,INDEX(ZahlungsZeitplan[ENDSALDO],ROW()-ROW(ZahlungsZeitplan[[#Headers],[ANFANGSSALDO]])-1)),"")</f>
        <v/>
      </c>
      <c r="E345" s="195" t="str">
        <f ca="1">IF(ZahlungsZeitplan[[#This Row],['#]]&lt;&gt;"",PlanmäßigeZahlung,"")</f>
        <v/>
      </c>
      <c r="F34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5" s="195" t="str">
        <f ca="1">IF(ZahlungsZeitplan[[#This Row],['#]]&lt;&gt;"",ZahlungsZeitplan[[#This Row],[GESAMTZAHLUNG]]-ZahlungsZeitplan[[#This Row],[ZINSEN]],"")</f>
        <v/>
      </c>
      <c r="I345" s="195" t="str">
        <f ca="1">IF(ZahlungsZeitplan[[#This Row],['#]]&lt;=($D$8*12),IF(ZahlungsZeitplan[[#This Row],['#]]&lt;&gt;"",ZahlungsZeitplan[[#This Row],[ANFANGSSALDO]]*(ZinsSatz/ZahlungenProJahr),""),IF(ZahlungsZeitplan[[#This Row],['#]]&lt;&gt;"",ZahlungsZeitplan[[#This Row],[ANFANGSSALDO]]*((ZinsSatz+$D$9)/ZahlungenProJahr),""))</f>
        <v/>
      </c>
      <c r="J345" s="195" t="str">
        <f ca="1">IF(ZahlungsZeitplan[[#This Row],['#]]&lt;&gt;"",IF(ZahlungsZeitplan[[#This Row],[Zahlungen (Plan)]]+ZahlungsZeitplan[[#This Row],[SONDERZAHLUNG]]&lt;=ZahlungsZeitplan[[#This Row],[ANFANGSSALDO]],ZahlungsZeitplan[[#This Row],[ANFANGSSALDO]]-ZahlungsZeitplan[[#This Row],[KAPITAL]],0),"")</f>
        <v/>
      </c>
      <c r="K345" s="195" t="str">
        <f ca="1">IF(ZahlungsZeitplan[[#This Row],['#]]&lt;&gt;"",SUM(INDEX(ZahlungsZeitplan[ZINSEN],1,1):ZahlungsZeitplan[[#This Row],[ZINSEN]]),"")</f>
        <v/>
      </c>
    </row>
    <row r="346" spans="2:11">
      <c r="B346" s="193" t="str">
        <f ca="1">IF(DarlehenIstGut,IF(ROW()-ROW(ZahlungsZeitplan[[#Headers],['#]])&gt;PlanmäßigeAnzahlZahlungen,"",ROW()-ROW(ZahlungsZeitplan[[#Headers],['#]])),"")</f>
        <v/>
      </c>
      <c r="C346" s="194" t="str">
        <f ca="1">IF(ZahlungsZeitplan[[#This Row],['#]]&lt;&gt;"",EOMONTH(DarlehensAnfangsDatum,ROW(ZahlungsZeitplan[[#This Row],['#]])-ROW(ZahlungsZeitplan[[#Headers],['#]])-2)+DAY(DarlehensAnfangsDatum),"")</f>
        <v/>
      </c>
      <c r="D346" s="195" t="str">
        <f ca="1">IF(ZahlungsZeitplan[[#This Row],['#]]&lt;&gt;"",IF(ROW()-ROW(ZahlungsZeitplan[[#Headers],[ANFANGSSALDO]])=1,DarlehensBetrag,INDEX(ZahlungsZeitplan[ENDSALDO],ROW()-ROW(ZahlungsZeitplan[[#Headers],[ANFANGSSALDO]])-1)),"")</f>
        <v/>
      </c>
      <c r="E346" s="195" t="str">
        <f ca="1">IF(ZahlungsZeitplan[[#This Row],['#]]&lt;&gt;"",PlanmäßigeZahlung,"")</f>
        <v/>
      </c>
      <c r="F34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6" s="195" t="str">
        <f ca="1">IF(ZahlungsZeitplan[[#This Row],['#]]&lt;&gt;"",ZahlungsZeitplan[[#This Row],[GESAMTZAHLUNG]]-ZahlungsZeitplan[[#This Row],[ZINSEN]],"")</f>
        <v/>
      </c>
      <c r="I346" s="195" t="str">
        <f ca="1">IF(ZahlungsZeitplan[[#This Row],['#]]&lt;=($D$8*12),IF(ZahlungsZeitplan[[#This Row],['#]]&lt;&gt;"",ZahlungsZeitplan[[#This Row],[ANFANGSSALDO]]*(ZinsSatz/ZahlungenProJahr),""),IF(ZahlungsZeitplan[[#This Row],['#]]&lt;&gt;"",ZahlungsZeitplan[[#This Row],[ANFANGSSALDO]]*((ZinsSatz+$D$9)/ZahlungenProJahr),""))</f>
        <v/>
      </c>
      <c r="J346" s="195" t="str">
        <f ca="1">IF(ZahlungsZeitplan[[#This Row],['#]]&lt;&gt;"",IF(ZahlungsZeitplan[[#This Row],[Zahlungen (Plan)]]+ZahlungsZeitplan[[#This Row],[SONDERZAHLUNG]]&lt;=ZahlungsZeitplan[[#This Row],[ANFANGSSALDO]],ZahlungsZeitplan[[#This Row],[ANFANGSSALDO]]-ZahlungsZeitplan[[#This Row],[KAPITAL]],0),"")</f>
        <v/>
      </c>
      <c r="K346" s="195" t="str">
        <f ca="1">IF(ZahlungsZeitplan[[#This Row],['#]]&lt;&gt;"",SUM(INDEX(ZahlungsZeitplan[ZINSEN],1,1):ZahlungsZeitplan[[#This Row],[ZINSEN]]),"")</f>
        <v/>
      </c>
    </row>
    <row r="347" spans="2:11">
      <c r="B347" s="193" t="str">
        <f ca="1">IF(DarlehenIstGut,IF(ROW()-ROW(ZahlungsZeitplan[[#Headers],['#]])&gt;PlanmäßigeAnzahlZahlungen,"",ROW()-ROW(ZahlungsZeitplan[[#Headers],['#]])),"")</f>
        <v/>
      </c>
      <c r="C347" s="194" t="str">
        <f ca="1">IF(ZahlungsZeitplan[[#This Row],['#]]&lt;&gt;"",EOMONTH(DarlehensAnfangsDatum,ROW(ZahlungsZeitplan[[#This Row],['#]])-ROW(ZahlungsZeitplan[[#Headers],['#]])-2)+DAY(DarlehensAnfangsDatum),"")</f>
        <v/>
      </c>
      <c r="D347" s="195" t="str">
        <f ca="1">IF(ZahlungsZeitplan[[#This Row],['#]]&lt;&gt;"",IF(ROW()-ROW(ZahlungsZeitplan[[#Headers],[ANFANGSSALDO]])=1,DarlehensBetrag,INDEX(ZahlungsZeitplan[ENDSALDO],ROW()-ROW(ZahlungsZeitplan[[#Headers],[ANFANGSSALDO]])-1)),"")</f>
        <v/>
      </c>
      <c r="E347" s="195" t="str">
        <f ca="1">IF(ZahlungsZeitplan[[#This Row],['#]]&lt;&gt;"",PlanmäßigeZahlung,"")</f>
        <v/>
      </c>
      <c r="F34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7" s="195" t="str">
        <f ca="1">IF(ZahlungsZeitplan[[#This Row],['#]]&lt;&gt;"",ZahlungsZeitplan[[#This Row],[GESAMTZAHLUNG]]-ZahlungsZeitplan[[#This Row],[ZINSEN]],"")</f>
        <v/>
      </c>
      <c r="I347" s="195" t="str">
        <f ca="1">IF(ZahlungsZeitplan[[#This Row],['#]]&lt;=($D$8*12),IF(ZahlungsZeitplan[[#This Row],['#]]&lt;&gt;"",ZahlungsZeitplan[[#This Row],[ANFANGSSALDO]]*(ZinsSatz/ZahlungenProJahr),""),IF(ZahlungsZeitplan[[#This Row],['#]]&lt;&gt;"",ZahlungsZeitplan[[#This Row],[ANFANGSSALDO]]*((ZinsSatz+$D$9)/ZahlungenProJahr),""))</f>
        <v/>
      </c>
      <c r="J347" s="195" t="str">
        <f ca="1">IF(ZahlungsZeitplan[[#This Row],['#]]&lt;&gt;"",IF(ZahlungsZeitplan[[#This Row],[Zahlungen (Plan)]]+ZahlungsZeitplan[[#This Row],[SONDERZAHLUNG]]&lt;=ZahlungsZeitplan[[#This Row],[ANFANGSSALDO]],ZahlungsZeitplan[[#This Row],[ANFANGSSALDO]]-ZahlungsZeitplan[[#This Row],[KAPITAL]],0),"")</f>
        <v/>
      </c>
      <c r="K347" s="195" t="str">
        <f ca="1">IF(ZahlungsZeitplan[[#This Row],['#]]&lt;&gt;"",SUM(INDEX(ZahlungsZeitplan[ZINSEN],1,1):ZahlungsZeitplan[[#This Row],[ZINSEN]]),"")</f>
        <v/>
      </c>
    </row>
    <row r="348" spans="2:11">
      <c r="B348" s="193" t="str">
        <f ca="1">IF(DarlehenIstGut,IF(ROW()-ROW(ZahlungsZeitplan[[#Headers],['#]])&gt;PlanmäßigeAnzahlZahlungen,"",ROW()-ROW(ZahlungsZeitplan[[#Headers],['#]])),"")</f>
        <v/>
      </c>
      <c r="C348" s="194" t="str">
        <f ca="1">IF(ZahlungsZeitplan[[#This Row],['#]]&lt;&gt;"",EOMONTH(DarlehensAnfangsDatum,ROW(ZahlungsZeitplan[[#This Row],['#]])-ROW(ZahlungsZeitplan[[#Headers],['#]])-2)+DAY(DarlehensAnfangsDatum),"")</f>
        <v/>
      </c>
      <c r="D348" s="195" t="str">
        <f ca="1">IF(ZahlungsZeitplan[[#This Row],['#]]&lt;&gt;"",IF(ROW()-ROW(ZahlungsZeitplan[[#Headers],[ANFANGSSALDO]])=1,DarlehensBetrag,INDEX(ZahlungsZeitplan[ENDSALDO],ROW()-ROW(ZahlungsZeitplan[[#Headers],[ANFANGSSALDO]])-1)),"")</f>
        <v/>
      </c>
      <c r="E348" s="195" t="str">
        <f ca="1">IF(ZahlungsZeitplan[[#This Row],['#]]&lt;&gt;"",PlanmäßigeZahlung,"")</f>
        <v/>
      </c>
      <c r="F34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8" s="195" t="str">
        <f ca="1">IF(ZahlungsZeitplan[[#This Row],['#]]&lt;&gt;"",ZahlungsZeitplan[[#This Row],[GESAMTZAHLUNG]]-ZahlungsZeitplan[[#This Row],[ZINSEN]],"")</f>
        <v/>
      </c>
      <c r="I348" s="195" t="str">
        <f ca="1">IF(ZahlungsZeitplan[[#This Row],['#]]&lt;=($D$8*12),IF(ZahlungsZeitplan[[#This Row],['#]]&lt;&gt;"",ZahlungsZeitplan[[#This Row],[ANFANGSSALDO]]*(ZinsSatz/ZahlungenProJahr),""),IF(ZahlungsZeitplan[[#This Row],['#]]&lt;&gt;"",ZahlungsZeitplan[[#This Row],[ANFANGSSALDO]]*((ZinsSatz+$D$9)/ZahlungenProJahr),""))</f>
        <v/>
      </c>
      <c r="J348" s="195" t="str">
        <f ca="1">IF(ZahlungsZeitplan[[#This Row],['#]]&lt;&gt;"",IF(ZahlungsZeitplan[[#This Row],[Zahlungen (Plan)]]+ZahlungsZeitplan[[#This Row],[SONDERZAHLUNG]]&lt;=ZahlungsZeitplan[[#This Row],[ANFANGSSALDO]],ZahlungsZeitplan[[#This Row],[ANFANGSSALDO]]-ZahlungsZeitplan[[#This Row],[KAPITAL]],0),"")</f>
        <v/>
      </c>
      <c r="K348" s="195" t="str">
        <f ca="1">IF(ZahlungsZeitplan[[#This Row],['#]]&lt;&gt;"",SUM(INDEX(ZahlungsZeitplan[ZINSEN],1,1):ZahlungsZeitplan[[#This Row],[ZINSEN]]),"")</f>
        <v/>
      </c>
    </row>
    <row r="349" spans="2:11">
      <c r="B349" s="193" t="str">
        <f ca="1">IF(DarlehenIstGut,IF(ROW()-ROW(ZahlungsZeitplan[[#Headers],['#]])&gt;PlanmäßigeAnzahlZahlungen,"",ROW()-ROW(ZahlungsZeitplan[[#Headers],['#]])),"")</f>
        <v/>
      </c>
      <c r="C349" s="194" t="str">
        <f ca="1">IF(ZahlungsZeitplan[[#This Row],['#]]&lt;&gt;"",EOMONTH(DarlehensAnfangsDatum,ROW(ZahlungsZeitplan[[#This Row],['#]])-ROW(ZahlungsZeitplan[[#Headers],['#]])-2)+DAY(DarlehensAnfangsDatum),"")</f>
        <v/>
      </c>
      <c r="D349" s="195" t="str">
        <f ca="1">IF(ZahlungsZeitplan[[#This Row],['#]]&lt;&gt;"",IF(ROW()-ROW(ZahlungsZeitplan[[#Headers],[ANFANGSSALDO]])=1,DarlehensBetrag,INDEX(ZahlungsZeitplan[ENDSALDO],ROW()-ROW(ZahlungsZeitplan[[#Headers],[ANFANGSSALDO]])-1)),"")</f>
        <v/>
      </c>
      <c r="E349" s="195" t="str">
        <f ca="1">IF(ZahlungsZeitplan[[#This Row],['#]]&lt;&gt;"",PlanmäßigeZahlung,"")</f>
        <v/>
      </c>
      <c r="F34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4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49" s="195" t="str">
        <f ca="1">IF(ZahlungsZeitplan[[#This Row],['#]]&lt;&gt;"",ZahlungsZeitplan[[#This Row],[GESAMTZAHLUNG]]-ZahlungsZeitplan[[#This Row],[ZINSEN]],"")</f>
        <v/>
      </c>
      <c r="I349" s="195" t="str">
        <f ca="1">IF(ZahlungsZeitplan[[#This Row],['#]]&lt;=($D$8*12),IF(ZahlungsZeitplan[[#This Row],['#]]&lt;&gt;"",ZahlungsZeitplan[[#This Row],[ANFANGSSALDO]]*(ZinsSatz/ZahlungenProJahr),""),IF(ZahlungsZeitplan[[#This Row],['#]]&lt;&gt;"",ZahlungsZeitplan[[#This Row],[ANFANGSSALDO]]*((ZinsSatz+$D$9)/ZahlungenProJahr),""))</f>
        <v/>
      </c>
      <c r="J349" s="195" t="str">
        <f ca="1">IF(ZahlungsZeitplan[[#This Row],['#]]&lt;&gt;"",IF(ZahlungsZeitplan[[#This Row],[Zahlungen (Plan)]]+ZahlungsZeitplan[[#This Row],[SONDERZAHLUNG]]&lt;=ZahlungsZeitplan[[#This Row],[ANFANGSSALDO]],ZahlungsZeitplan[[#This Row],[ANFANGSSALDO]]-ZahlungsZeitplan[[#This Row],[KAPITAL]],0),"")</f>
        <v/>
      </c>
      <c r="K349" s="195" t="str">
        <f ca="1">IF(ZahlungsZeitplan[[#This Row],['#]]&lt;&gt;"",SUM(INDEX(ZahlungsZeitplan[ZINSEN],1,1):ZahlungsZeitplan[[#This Row],[ZINSEN]]),"")</f>
        <v/>
      </c>
    </row>
    <row r="350" spans="2:11">
      <c r="B350" s="193" t="str">
        <f ca="1">IF(DarlehenIstGut,IF(ROW()-ROW(ZahlungsZeitplan[[#Headers],['#]])&gt;PlanmäßigeAnzahlZahlungen,"",ROW()-ROW(ZahlungsZeitplan[[#Headers],['#]])),"")</f>
        <v/>
      </c>
      <c r="C350" s="194" t="str">
        <f ca="1">IF(ZahlungsZeitplan[[#This Row],['#]]&lt;&gt;"",EOMONTH(DarlehensAnfangsDatum,ROW(ZahlungsZeitplan[[#This Row],['#]])-ROW(ZahlungsZeitplan[[#Headers],['#]])-2)+DAY(DarlehensAnfangsDatum),"")</f>
        <v/>
      </c>
      <c r="D350" s="195" t="str">
        <f ca="1">IF(ZahlungsZeitplan[[#This Row],['#]]&lt;&gt;"",IF(ROW()-ROW(ZahlungsZeitplan[[#Headers],[ANFANGSSALDO]])=1,DarlehensBetrag,INDEX(ZahlungsZeitplan[ENDSALDO],ROW()-ROW(ZahlungsZeitplan[[#Headers],[ANFANGSSALDO]])-1)),"")</f>
        <v/>
      </c>
      <c r="E350" s="195" t="str">
        <f ca="1">IF(ZahlungsZeitplan[[#This Row],['#]]&lt;&gt;"",PlanmäßigeZahlung,"")</f>
        <v/>
      </c>
      <c r="F35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0" s="195" t="str">
        <f ca="1">IF(ZahlungsZeitplan[[#This Row],['#]]&lt;&gt;"",ZahlungsZeitplan[[#This Row],[GESAMTZAHLUNG]]-ZahlungsZeitplan[[#This Row],[ZINSEN]],"")</f>
        <v/>
      </c>
      <c r="I350" s="195" t="str">
        <f ca="1">IF(ZahlungsZeitplan[[#This Row],['#]]&lt;=($D$8*12),IF(ZahlungsZeitplan[[#This Row],['#]]&lt;&gt;"",ZahlungsZeitplan[[#This Row],[ANFANGSSALDO]]*(ZinsSatz/ZahlungenProJahr),""),IF(ZahlungsZeitplan[[#This Row],['#]]&lt;&gt;"",ZahlungsZeitplan[[#This Row],[ANFANGSSALDO]]*((ZinsSatz+$D$9)/ZahlungenProJahr),""))</f>
        <v/>
      </c>
      <c r="J350" s="195" t="str">
        <f ca="1">IF(ZahlungsZeitplan[[#This Row],['#]]&lt;&gt;"",IF(ZahlungsZeitplan[[#This Row],[Zahlungen (Plan)]]+ZahlungsZeitplan[[#This Row],[SONDERZAHLUNG]]&lt;=ZahlungsZeitplan[[#This Row],[ANFANGSSALDO]],ZahlungsZeitplan[[#This Row],[ANFANGSSALDO]]-ZahlungsZeitplan[[#This Row],[KAPITAL]],0),"")</f>
        <v/>
      </c>
      <c r="K350" s="195" t="str">
        <f ca="1">IF(ZahlungsZeitplan[[#This Row],['#]]&lt;&gt;"",SUM(INDEX(ZahlungsZeitplan[ZINSEN],1,1):ZahlungsZeitplan[[#This Row],[ZINSEN]]),"")</f>
        <v/>
      </c>
    </row>
    <row r="351" spans="2:11">
      <c r="B351" s="193" t="str">
        <f ca="1">IF(DarlehenIstGut,IF(ROW()-ROW(ZahlungsZeitplan[[#Headers],['#]])&gt;PlanmäßigeAnzahlZahlungen,"",ROW()-ROW(ZahlungsZeitplan[[#Headers],['#]])),"")</f>
        <v/>
      </c>
      <c r="C351" s="194" t="str">
        <f ca="1">IF(ZahlungsZeitplan[[#This Row],['#]]&lt;&gt;"",EOMONTH(DarlehensAnfangsDatum,ROW(ZahlungsZeitplan[[#This Row],['#]])-ROW(ZahlungsZeitplan[[#Headers],['#]])-2)+DAY(DarlehensAnfangsDatum),"")</f>
        <v/>
      </c>
      <c r="D351" s="195" t="str">
        <f ca="1">IF(ZahlungsZeitplan[[#This Row],['#]]&lt;&gt;"",IF(ROW()-ROW(ZahlungsZeitplan[[#Headers],[ANFANGSSALDO]])=1,DarlehensBetrag,INDEX(ZahlungsZeitplan[ENDSALDO],ROW()-ROW(ZahlungsZeitplan[[#Headers],[ANFANGSSALDO]])-1)),"")</f>
        <v/>
      </c>
      <c r="E351" s="195" t="str">
        <f ca="1">IF(ZahlungsZeitplan[[#This Row],['#]]&lt;&gt;"",PlanmäßigeZahlung,"")</f>
        <v/>
      </c>
      <c r="F35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1" s="195" t="str">
        <f ca="1">IF(ZahlungsZeitplan[[#This Row],['#]]&lt;&gt;"",ZahlungsZeitplan[[#This Row],[GESAMTZAHLUNG]]-ZahlungsZeitplan[[#This Row],[ZINSEN]],"")</f>
        <v/>
      </c>
      <c r="I351" s="195" t="str">
        <f ca="1">IF(ZahlungsZeitplan[[#This Row],['#]]&lt;=($D$8*12),IF(ZahlungsZeitplan[[#This Row],['#]]&lt;&gt;"",ZahlungsZeitplan[[#This Row],[ANFANGSSALDO]]*(ZinsSatz/ZahlungenProJahr),""),IF(ZahlungsZeitplan[[#This Row],['#]]&lt;&gt;"",ZahlungsZeitplan[[#This Row],[ANFANGSSALDO]]*((ZinsSatz+$D$9)/ZahlungenProJahr),""))</f>
        <v/>
      </c>
      <c r="J351" s="195" t="str">
        <f ca="1">IF(ZahlungsZeitplan[[#This Row],['#]]&lt;&gt;"",IF(ZahlungsZeitplan[[#This Row],[Zahlungen (Plan)]]+ZahlungsZeitplan[[#This Row],[SONDERZAHLUNG]]&lt;=ZahlungsZeitplan[[#This Row],[ANFANGSSALDO]],ZahlungsZeitplan[[#This Row],[ANFANGSSALDO]]-ZahlungsZeitplan[[#This Row],[KAPITAL]],0),"")</f>
        <v/>
      </c>
      <c r="K351" s="195" t="str">
        <f ca="1">IF(ZahlungsZeitplan[[#This Row],['#]]&lt;&gt;"",SUM(INDEX(ZahlungsZeitplan[ZINSEN],1,1):ZahlungsZeitplan[[#This Row],[ZINSEN]]),"")</f>
        <v/>
      </c>
    </row>
    <row r="352" spans="2:11">
      <c r="B352" s="193" t="str">
        <f ca="1">IF(DarlehenIstGut,IF(ROW()-ROW(ZahlungsZeitplan[[#Headers],['#]])&gt;PlanmäßigeAnzahlZahlungen,"",ROW()-ROW(ZahlungsZeitplan[[#Headers],['#]])),"")</f>
        <v/>
      </c>
      <c r="C352" s="194" t="str">
        <f ca="1">IF(ZahlungsZeitplan[[#This Row],['#]]&lt;&gt;"",EOMONTH(DarlehensAnfangsDatum,ROW(ZahlungsZeitplan[[#This Row],['#]])-ROW(ZahlungsZeitplan[[#Headers],['#]])-2)+DAY(DarlehensAnfangsDatum),"")</f>
        <v/>
      </c>
      <c r="D352" s="195" t="str">
        <f ca="1">IF(ZahlungsZeitplan[[#This Row],['#]]&lt;&gt;"",IF(ROW()-ROW(ZahlungsZeitplan[[#Headers],[ANFANGSSALDO]])=1,DarlehensBetrag,INDEX(ZahlungsZeitplan[ENDSALDO],ROW()-ROW(ZahlungsZeitplan[[#Headers],[ANFANGSSALDO]])-1)),"")</f>
        <v/>
      </c>
      <c r="E352" s="195" t="str">
        <f ca="1">IF(ZahlungsZeitplan[[#This Row],['#]]&lt;&gt;"",PlanmäßigeZahlung,"")</f>
        <v/>
      </c>
      <c r="F35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2" s="195" t="str">
        <f ca="1">IF(ZahlungsZeitplan[[#This Row],['#]]&lt;&gt;"",ZahlungsZeitplan[[#This Row],[GESAMTZAHLUNG]]-ZahlungsZeitplan[[#This Row],[ZINSEN]],"")</f>
        <v/>
      </c>
      <c r="I352" s="195" t="str">
        <f ca="1">IF(ZahlungsZeitplan[[#This Row],['#]]&lt;=($D$8*12),IF(ZahlungsZeitplan[[#This Row],['#]]&lt;&gt;"",ZahlungsZeitplan[[#This Row],[ANFANGSSALDO]]*(ZinsSatz/ZahlungenProJahr),""),IF(ZahlungsZeitplan[[#This Row],['#]]&lt;&gt;"",ZahlungsZeitplan[[#This Row],[ANFANGSSALDO]]*((ZinsSatz+$D$9)/ZahlungenProJahr),""))</f>
        <v/>
      </c>
      <c r="J352" s="195" t="str">
        <f ca="1">IF(ZahlungsZeitplan[[#This Row],['#]]&lt;&gt;"",IF(ZahlungsZeitplan[[#This Row],[Zahlungen (Plan)]]+ZahlungsZeitplan[[#This Row],[SONDERZAHLUNG]]&lt;=ZahlungsZeitplan[[#This Row],[ANFANGSSALDO]],ZahlungsZeitplan[[#This Row],[ANFANGSSALDO]]-ZahlungsZeitplan[[#This Row],[KAPITAL]],0),"")</f>
        <v/>
      </c>
      <c r="K352" s="195" t="str">
        <f ca="1">IF(ZahlungsZeitplan[[#This Row],['#]]&lt;&gt;"",SUM(INDEX(ZahlungsZeitplan[ZINSEN],1,1):ZahlungsZeitplan[[#This Row],[ZINSEN]]),"")</f>
        <v/>
      </c>
    </row>
    <row r="353" spans="2:11">
      <c r="B353" s="193" t="str">
        <f ca="1">IF(DarlehenIstGut,IF(ROW()-ROW(ZahlungsZeitplan[[#Headers],['#]])&gt;PlanmäßigeAnzahlZahlungen,"",ROW()-ROW(ZahlungsZeitplan[[#Headers],['#]])),"")</f>
        <v/>
      </c>
      <c r="C353" s="194" t="str">
        <f ca="1">IF(ZahlungsZeitplan[[#This Row],['#]]&lt;&gt;"",EOMONTH(DarlehensAnfangsDatum,ROW(ZahlungsZeitplan[[#This Row],['#]])-ROW(ZahlungsZeitplan[[#Headers],['#]])-2)+DAY(DarlehensAnfangsDatum),"")</f>
        <v/>
      </c>
      <c r="D353" s="195" t="str">
        <f ca="1">IF(ZahlungsZeitplan[[#This Row],['#]]&lt;&gt;"",IF(ROW()-ROW(ZahlungsZeitplan[[#Headers],[ANFANGSSALDO]])=1,DarlehensBetrag,INDEX(ZahlungsZeitplan[ENDSALDO],ROW()-ROW(ZahlungsZeitplan[[#Headers],[ANFANGSSALDO]])-1)),"")</f>
        <v/>
      </c>
      <c r="E353" s="195" t="str">
        <f ca="1">IF(ZahlungsZeitplan[[#This Row],['#]]&lt;&gt;"",PlanmäßigeZahlung,"")</f>
        <v/>
      </c>
      <c r="F35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3" s="195" t="str">
        <f ca="1">IF(ZahlungsZeitplan[[#This Row],['#]]&lt;&gt;"",ZahlungsZeitplan[[#This Row],[GESAMTZAHLUNG]]-ZahlungsZeitplan[[#This Row],[ZINSEN]],"")</f>
        <v/>
      </c>
      <c r="I353" s="195" t="str">
        <f ca="1">IF(ZahlungsZeitplan[[#This Row],['#]]&lt;=($D$8*12),IF(ZahlungsZeitplan[[#This Row],['#]]&lt;&gt;"",ZahlungsZeitplan[[#This Row],[ANFANGSSALDO]]*(ZinsSatz/ZahlungenProJahr),""),IF(ZahlungsZeitplan[[#This Row],['#]]&lt;&gt;"",ZahlungsZeitplan[[#This Row],[ANFANGSSALDO]]*((ZinsSatz+$D$9)/ZahlungenProJahr),""))</f>
        <v/>
      </c>
      <c r="J353" s="195" t="str">
        <f ca="1">IF(ZahlungsZeitplan[[#This Row],['#]]&lt;&gt;"",IF(ZahlungsZeitplan[[#This Row],[Zahlungen (Plan)]]+ZahlungsZeitplan[[#This Row],[SONDERZAHLUNG]]&lt;=ZahlungsZeitplan[[#This Row],[ANFANGSSALDO]],ZahlungsZeitplan[[#This Row],[ANFANGSSALDO]]-ZahlungsZeitplan[[#This Row],[KAPITAL]],0),"")</f>
        <v/>
      </c>
      <c r="K353" s="195" t="str">
        <f ca="1">IF(ZahlungsZeitplan[[#This Row],['#]]&lt;&gt;"",SUM(INDEX(ZahlungsZeitplan[ZINSEN],1,1):ZahlungsZeitplan[[#This Row],[ZINSEN]]),"")</f>
        <v/>
      </c>
    </row>
    <row r="354" spans="2:11">
      <c r="B354" s="193" t="str">
        <f ca="1">IF(DarlehenIstGut,IF(ROW()-ROW(ZahlungsZeitplan[[#Headers],['#]])&gt;PlanmäßigeAnzahlZahlungen,"",ROW()-ROW(ZahlungsZeitplan[[#Headers],['#]])),"")</f>
        <v/>
      </c>
      <c r="C354" s="194" t="str">
        <f ca="1">IF(ZahlungsZeitplan[[#This Row],['#]]&lt;&gt;"",EOMONTH(DarlehensAnfangsDatum,ROW(ZahlungsZeitplan[[#This Row],['#]])-ROW(ZahlungsZeitplan[[#Headers],['#]])-2)+DAY(DarlehensAnfangsDatum),"")</f>
        <v/>
      </c>
      <c r="D354" s="195" t="str">
        <f ca="1">IF(ZahlungsZeitplan[[#This Row],['#]]&lt;&gt;"",IF(ROW()-ROW(ZahlungsZeitplan[[#Headers],[ANFANGSSALDO]])=1,DarlehensBetrag,INDEX(ZahlungsZeitplan[ENDSALDO],ROW()-ROW(ZahlungsZeitplan[[#Headers],[ANFANGSSALDO]])-1)),"")</f>
        <v/>
      </c>
      <c r="E354" s="195" t="str">
        <f ca="1">IF(ZahlungsZeitplan[[#This Row],['#]]&lt;&gt;"",PlanmäßigeZahlung,"")</f>
        <v/>
      </c>
      <c r="F35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4" s="195" t="str">
        <f ca="1">IF(ZahlungsZeitplan[[#This Row],['#]]&lt;&gt;"",ZahlungsZeitplan[[#This Row],[GESAMTZAHLUNG]]-ZahlungsZeitplan[[#This Row],[ZINSEN]],"")</f>
        <v/>
      </c>
      <c r="I354" s="195" t="str">
        <f ca="1">IF(ZahlungsZeitplan[[#This Row],['#]]&lt;=($D$8*12),IF(ZahlungsZeitplan[[#This Row],['#]]&lt;&gt;"",ZahlungsZeitplan[[#This Row],[ANFANGSSALDO]]*(ZinsSatz/ZahlungenProJahr),""),IF(ZahlungsZeitplan[[#This Row],['#]]&lt;&gt;"",ZahlungsZeitplan[[#This Row],[ANFANGSSALDO]]*((ZinsSatz+$D$9)/ZahlungenProJahr),""))</f>
        <v/>
      </c>
      <c r="J354" s="195" t="str">
        <f ca="1">IF(ZahlungsZeitplan[[#This Row],['#]]&lt;&gt;"",IF(ZahlungsZeitplan[[#This Row],[Zahlungen (Plan)]]+ZahlungsZeitplan[[#This Row],[SONDERZAHLUNG]]&lt;=ZahlungsZeitplan[[#This Row],[ANFANGSSALDO]],ZahlungsZeitplan[[#This Row],[ANFANGSSALDO]]-ZahlungsZeitplan[[#This Row],[KAPITAL]],0),"")</f>
        <v/>
      </c>
      <c r="K354" s="195" t="str">
        <f ca="1">IF(ZahlungsZeitplan[[#This Row],['#]]&lt;&gt;"",SUM(INDEX(ZahlungsZeitplan[ZINSEN],1,1):ZahlungsZeitplan[[#This Row],[ZINSEN]]),"")</f>
        <v/>
      </c>
    </row>
    <row r="355" spans="2:11">
      <c r="B355" s="193" t="str">
        <f ca="1">IF(DarlehenIstGut,IF(ROW()-ROW(ZahlungsZeitplan[[#Headers],['#]])&gt;PlanmäßigeAnzahlZahlungen,"",ROW()-ROW(ZahlungsZeitplan[[#Headers],['#]])),"")</f>
        <v/>
      </c>
      <c r="C355" s="194" t="str">
        <f ca="1">IF(ZahlungsZeitplan[[#This Row],['#]]&lt;&gt;"",EOMONTH(DarlehensAnfangsDatum,ROW(ZahlungsZeitplan[[#This Row],['#]])-ROW(ZahlungsZeitplan[[#Headers],['#]])-2)+DAY(DarlehensAnfangsDatum),"")</f>
        <v/>
      </c>
      <c r="D355" s="195" t="str">
        <f ca="1">IF(ZahlungsZeitplan[[#This Row],['#]]&lt;&gt;"",IF(ROW()-ROW(ZahlungsZeitplan[[#Headers],[ANFANGSSALDO]])=1,DarlehensBetrag,INDEX(ZahlungsZeitplan[ENDSALDO],ROW()-ROW(ZahlungsZeitplan[[#Headers],[ANFANGSSALDO]])-1)),"")</f>
        <v/>
      </c>
      <c r="E355" s="195" t="str">
        <f ca="1">IF(ZahlungsZeitplan[[#This Row],['#]]&lt;&gt;"",PlanmäßigeZahlung,"")</f>
        <v/>
      </c>
      <c r="F35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5" s="195" t="str">
        <f ca="1">IF(ZahlungsZeitplan[[#This Row],['#]]&lt;&gt;"",ZahlungsZeitplan[[#This Row],[GESAMTZAHLUNG]]-ZahlungsZeitplan[[#This Row],[ZINSEN]],"")</f>
        <v/>
      </c>
      <c r="I355" s="195" t="str">
        <f ca="1">IF(ZahlungsZeitplan[[#This Row],['#]]&lt;=($D$8*12),IF(ZahlungsZeitplan[[#This Row],['#]]&lt;&gt;"",ZahlungsZeitplan[[#This Row],[ANFANGSSALDO]]*(ZinsSatz/ZahlungenProJahr),""),IF(ZahlungsZeitplan[[#This Row],['#]]&lt;&gt;"",ZahlungsZeitplan[[#This Row],[ANFANGSSALDO]]*((ZinsSatz+$D$9)/ZahlungenProJahr),""))</f>
        <v/>
      </c>
      <c r="J355" s="195" t="str">
        <f ca="1">IF(ZahlungsZeitplan[[#This Row],['#]]&lt;&gt;"",IF(ZahlungsZeitplan[[#This Row],[Zahlungen (Plan)]]+ZahlungsZeitplan[[#This Row],[SONDERZAHLUNG]]&lt;=ZahlungsZeitplan[[#This Row],[ANFANGSSALDO]],ZahlungsZeitplan[[#This Row],[ANFANGSSALDO]]-ZahlungsZeitplan[[#This Row],[KAPITAL]],0),"")</f>
        <v/>
      </c>
      <c r="K355" s="195" t="str">
        <f ca="1">IF(ZahlungsZeitplan[[#This Row],['#]]&lt;&gt;"",SUM(INDEX(ZahlungsZeitplan[ZINSEN],1,1):ZahlungsZeitplan[[#This Row],[ZINSEN]]),"")</f>
        <v/>
      </c>
    </row>
    <row r="356" spans="2:11">
      <c r="B356" s="193" t="str">
        <f ca="1">IF(DarlehenIstGut,IF(ROW()-ROW(ZahlungsZeitplan[[#Headers],['#]])&gt;PlanmäßigeAnzahlZahlungen,"",ROW()-ROW(ZahlungsZeitplan[[#Headers],['#]])),"")</f>
        <v/>
      </c>
      <c r="C356" s="194" t="str">
        <f ca="1">IF(ZahlungsZeitplan[[#This Row],['#]]&lt;&gt;"",EOMONTH(DarlehensAnfangsDatum,ROW(ZahlungsZeitplan[[#This Row],['#]])-ROW(ZahlungsZeitplan[[#Headers],['#]])-2)+DAY(DarlehensAnfangsDatum),"")</f>
        <v/>
      </c>
      <c r="D356" s="195" t="str">
        <f ca="1">IF(ZahlungsZeitplan[[#This Row],['#]]&lt;&gt;"",IF(ROW()-ROW(ZahlungsZeitplan[[#Headers],[ANFANGSSALDO]])=1,DarlehensBetrag,INDEX(ZahlungsZeitplan[ENDSALDO],ROW()-ROW(ZahlungsZeitplan[[#Headers],[ANFANGSSALDO]])-1)),"")</f>
        <v/>
      </c>
      <c r="E356" s="195" t="str">
        <f ca="1">IF(ZahlungsZeitplan[[#This Row],['#]]&lt;&gt;"",PlanmäßigeZahlung,"")</f>
        <v/>
      </c>
      <c r="F35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6" s="195" t="str">
        <f ca="1">IF(ZahlungsZeitplan[[#This Row],['#]]&lt;&gt;"",ZahlungsZeitplan[[#This Row],[GESAMTZAHLUNG]]-ZahlungsZeitplan[[#This Row],[ZINSEN]],"")</f>
        <v/>
      </c>
      <c r="I356" s="195" t="str">
        <f ca="1">IF(ZahlungsZeitplan[[#This Row],['#]]&lt;=($D$8*12),IF(ZahlungsZeitplan[[#This Row],['#]]&lt;&gt;"",ZahlungsZeitplan[[#This Row],[ANFANGSSALDO]]*(ZinsSatz/ZahlungenProJahr),""),IF(ZahlungsZeitplan[[#This Row],['#]]&lt;&gt;"",ZahlungsZeitplan[[#This Row],[ANFANGSSALDO]]*((ZinsSatz+$D$9)/ZahlungenProJahr),""))</f>
        <v/>
      </c>
      <c r="J356" s="195" t="str">
        <f ca="1">IF(ZahlungsZeitplan[[#This Row],['#]]&lt;&gt;"",IF(ZahlungsZeitplan[[#This Row],[Zahlungen (Plan)]]+ZahlungsZeitplan[[#This Row],[SONDERZAHLUNG]]&lt;=ZahlungsZeitplan[[#This Row],[ANFANGSSALDO]],ZahlungsZeitplan[[#This Row],[ANFANGSSALDO]]-ZahlungsZeitplan[[#This Row],[KAPITAL]],0),"")</f>
        <v/>
      </c>
      <c r="K356" s="195" t="str">
        <f ca="1">IF(ZahlungsZeitplan[[#This Row],['#]]&lt;&gt;"",SUM(INDEX(ZahlungsZeitplan[ZINSEN],1,1):ZahlungsZeitplan[[#This Row],[ZINSEN]]),"")</f>
        <v/>
      </c>
    </row>
    <row r="357" spans="2:11">
      <c r="B357" s="193" t="str">
        <f ca="1">IF(DarlehenIstGut,IF(ROW()-ROW(ZahlungsZeitplan[[#Headers],['#]])&gt;PlanmäßigeAnzahlZahlungen,"",ROW()-ROW(ZahlungsZeitplan[[#Headers],['#]])),"")</f>
        <v/>
      </c>
      <c r="C357" s="194" t="str">
        <f ca="1">IF(ZahlungsZeitplan[[#This Row],['#]]&lt;&gt;"",EOMONTH(DarlehensAnfangsDatum,ROW(ZahlungsZeitplan[[#This Row],['#]])-ROW(ZahlungsZeitplan[[#Headers],['#]])-2)+DAY(DarlehensAnfangsDatum),"")</f>
        <v/>
      </c>
      <c r="D357" s="195" t="str">
        <f ca="1">IF(ZahlungsZeitplan[[#This Row],['#]]&lt;&gt;"",IF(ROW()-ROW(ZahlungsZeitplan[[#Headers],[ANFANGSSALDO]])=1,DarlehensBetrag,INDEX(ZahlungsZeitplan[ENDSALDO],ROW()-ROW(ZahlungsZeitplan[[#Headers],[ANFANGSSALDO]])-1)),"")</f>
        <v/>
      </c>
      <c r="E357" s="195" t="str">
        <f ca="1">IF(ZahlungsZeitplan[[#This Row],['#]]&lt;&gt;"",PlanmäßigeZahlung,"")</f>
        <v/>
      </c>
      <c r="F35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7" s="195" t="str">
        <f ca="1">IF(ZahlungsZeitplan[[#This Row],['#]]&lt;&gt;"",ZahlungsZeitplan[[#This Row],[GESAMTZAHLUNG]]-ZahlungsZeitplan[[#This Row],[ZINSEN]],"")</f>
        <v/>
      </c>
      <c r="I357" s="195" t="str">
        <f ca="1">IF(ZahlungsZeitplan[[#This Row],['#]]&lt;=($D$8*12),IF(ZahlungsZeitplan[[#This Row],['#]]&lt;&gt;"",ZahlungsZeitplan[[#This Row],[ANFANGSSALDO]]*(ZinsSatz/ZahlungenProJahr),""),IF(ZahlungsZeitplan[[#This Row],['#]]&lt;&gt;"",ZahlungsZeitplan[[#This Row],[ANFANGSSALDO]]*((ZinsSatz+$D$9)/ZahlungenProJahr),""))</f>
        <v/>
      </c>
      <c r="J357" s="195" t="str">
        <f ca="1">IF(ZahlungsZeitplan[[#This Row],['#]]&lt;&gt;"",IF(ZahlungsZeitplan[[#This Row],[Zahlungen (Plan)]]+ZahlungsZeitplan[[#This Row],[SONDERZAHLUNG]]&lt;=ZahlungsZeitplan[[#This Row],[ANFANGSSALDO]],ZahlungsZeitplan[[#This Row],[ANFANGSSALDO]]-ZahlungsZeitplan[[#This Row],[KAPITAL]],0),"")</f>
        <v/>
      </c>
      <c r="K357" s="195" t="str">
        <f ca="1">IF(ZahlungsZeitplan[[#This Row],['#]]&lt;&gt;"",SUM(INDEX(ZahlungsZeitplan[ZINSEN],1,1):ZahlungsZeitplan[[#This Row],[ZINSEN]]),"")</f>
        <v/>
      </c>
    </row>
    <row r="358" spans="2:11">
      <c r="B358" s="193" t="str">
        <f ca="1">IF(DarlehenIstGut,IF(ROW()-ROW(ZahlungsZeitplan[[#Headers],['#]])&gt;PlanmäßigeAnzahlZahlungen,"",ROW()-ROW(ZahlungsZeitplan[[#Headers],['#]])),"")</f>
        <v/>
      </c>
      <c r="C358" s="194" t="str">
        <f ca="1">IF(ZahlungsZeitplan[[#This Row],['#]]&lt;&gt;"",EOMONTH(DarlehensAnfangsDatum,ROW(ZahlungsZeitplan[[#This Row],['#]])-ROW(ZahlungsZeitplan[[#Headers],['#]])-2)+DAY(DarlehensAnfangsDatum),"")</f>
        <v/>
      </c>
      <c r="D358" s="195" t="str">
        <f ca="1">IF(ZahlungsZeitplan[[#This Row],['#]]&lt;&gt;"",IF(ROW()-ROW(ZahlungsZeitplan[[#Headers],[ANFANGSSALDO]])=1,DarlehensBetrag,INDEX(ZahlungsZeitplan[ENDSALDO],ROW()-ROW(ZahlungsZeitplan[[#Headers],[ANFANGSSALDO]])-1)),"")</f>
        <v/>
      </c>
      <c r="E358" s="195" t="str">
        <f ca="1">IF(ZahlungsZeitplan[[#This Row],['#]]&lt;&gt;"",PlanmäßigeZahlung,"")</f>
        <v/>
      </c>
      <c r="F35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8" s="195" t="str">
        <f ca="1">IF(ZahlungsZeitplan[[#This Row],['#]]&lt;&gt;"",ZahlungsZeitplan[[#This Row],[GESAMTZAHLUNG]]-ZahlungsZeitplan[[#This Row],[ZINSEN]],"")</f>
        <v/>
      </c>
      <c r="I358" s="195" t="str">
        <f ca="1">IF(ZahlungsZeitplan[[#This Row],['#]]&lt;=($D$8*12),IF(ZahlungsZeitplan[[#This Row],['#]]&lt;&gt;"",ZahlungsZeitplan[[#This Row],[ANFANGSSALDO]]*(ZinsSatz/ZahlungenProJahr),""),IF(ZahlungsZeitplan[[#This Row],['#]]&lt;&gt;"",ZahlungsZeitplan[[#This Row],[ANFANGSSALDO]]*((ZinsSatz+$D$9)/ZahlungenProJahr),""))</f>
        <v/>
      </c>
      <c r="J358" s="195" t="str">
        <f ca="1">IF(ZahlungsZeitplan[[#This Row],['#]]&lt;&gt;"",IF(ZahlungsZeitplan[[#This Row],[Zahlungen (Plan)]]+ZahlungsZeitplan[[#This Row],[SONDERZAHLUNG]]&lt;=ZahlungsZeitplan[[#This Row],[ANFANGSSALDO]],ZahlungsZeitplan[[#This Row],[ANFANGSSALDO]]-ZahlungsZeitplan[[#This Row],[KAPITAL]],0),"")</f>
        <v/>
      </c>
      <c r="K358" s="195" t="str">
        <f ca="1">IF(ZahlungsZeitplan[[#This Row],['#]]&lt;&gt;"",SUM(INDEX(ZahlungsZeitplan[ZINSEN],1,1):ZahlungsZeitplan[[#This Row],[ZINSEN]]),"")</f>
        <v/>
      </c>
    </row>
    <row r="359" spans="2:11">
      <c r="B359" s="193" t="str">
        <f ca="1">IF(DarlehenIstGut,IF(ROW()-ROW(ZahlungsZeitplan[[#Headers],['#]])&gt;PlanmäßigeAnzahlZahlungen,"",ROW()-ROW(ZahlungsZeitplan[[#Headers],['#]])),"")</f>
        <v/>
      </c>
      <c r="C359" s="194" t="str">
        <f ca="1">IF(ZahlungsZeitplan[[#This Row],['#]]&lt;&gt;"",EOMONTH(DarlehensAnfangsDatum,ROW(ZahlungsZeitplan[[#This Row],['#]])-ROW(ZahlungsZeitplan[[#Headers],['#]])-2)+DAY(DarlehensAnfangsDatum),"")</f>
        <v/>
      </c>
      <c r="D359" s="195" t="str">
        <f ca="1">IF(ZahlungsZeitplan[[#This Row],['#]]&lt;&gt;"",IF(ROW()-ROW(ZahlungsZeitplan[[#Headers],[ANFANGSSALDO]])=1,DarlehensBetrag,INDEX(ZahlungsZeitplan[ENDSALDO],ROW()-ROW(ZahlungsZeitplan[[#Headers],[ANFANGSSALDO]])-1)),"")</f>
        <v/>
      </c>
      <c r="E359" s="195" t="str">
        <f ca="1">IF(ZahlungsZeitplan[[#This Row],['#]]&lt;&gt;"",PlanmäßigeZahlung,"")</f>
        <v/>
      </c>
      <c r="F35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5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59" s="195" t="str">
        <f ca="1">IF(ZahlungsZeitplan[[#This Row],['#]]&lt;&gt;"",ZahlungsZeitplan[[#This Row],[GESAMTZAHLUNG]]-ZahlungsZeitplan[[#This Row],[ZINSEN]],"")</f>
        <v/>
      </c>
      <c r="I359" s="195" t="str">
        <f ca="1">IF(ZahlungsZeitplan[[#This Row],['#]]&lt;=($D$8*12),IF(ZahlungsZeitplan[[#This Row],['#]]&lt;&gt;"",ZahlungsZeitplan[[#This Row],[ANFANGSSALDO]]*(ZinsSatz/ZahlungenProJahr),""),IF(ZahlungsZeitplan[[#This Row],['#]]&lt;&gt;"",ZahlungsZeitplan[[#This Row],[ANFANGSSALDO]]*((ZinsSatz+$D$9)/ZahlungenProJahr),""))</f>
        <v/>
      </c>
      <c r="J359" s="195" t="str">
        <f ca="1">IF(ZahlungsZeitplan[[#This Row],['#]]&lt;&gt;"",IF(ZahlungsZeitplan[[#This Row],[Zahlungen (Plan)]]+ZahlungsZeitplan[[#This Row],[SONDERZAHLUNG]]&lt;=ZahlungsZeitplan[[#This Row],[ANFANGSSALDO]],ZahlungsZeitplan[[#This Row],[ANFANGSSALDO]]-ZahlungsZeitplan[[#This Row],[KAPITAL]],0),"")</f>
        <v/>
      </c>
      <c r="K359" s="195" t="str">
        <f ca="1">IF(ZahlungsZeitplan[[#This Row],['#]]&lt;&gt;"",SUM(INDEX(ZahlungsZeitplan[ZINSEN],1,1):ZahlungsZeitplan[[#This Row],[ZINSEN]]),"")</f>
        <v/>
      </c>
    </row>
    <row r="360" spans="2:11">
      <c r="B360" s="193" t="str">
        <f ca="1">IF(DarlehenIstGut,IF(ROW()-ROW(ZahlungsZeitplan[[#Headers],['#]])&gt;PlanmäßigeAnzahlZahlungen,"",ROW()-ROW(ZahlungsZeitplan[[#Headers],['#]])),"")</f>
        <v/>
      </c>
      <c r="C360" s="194" t="str">
        <f ca="1">IF(ZahlungsZeitplan[[#This Row],['#]]&lt;&gt;"",EOMONTH(DarlehensAnfangsDatum,ROW(ZahlungsZeitplan[[#This Row],['#]])-ROW(ZahlungsZeitplan[[#Headers],['#]])-2)+DAY(DarlehensAnfangsDatum),"")</f>
        <v/>
      </c>
      <c r="D360" s="195" t="str">
        <f ca="1">IF(ZahlungsZeitplan[[#This Row],['#]]&lt;&gt;"",IF(ROW()-ROW(ZahlungsZeitplan[[#Headers],[ANFANGSSALDO]])=1,DarlehensBetrag,INDEX(ZahlungsZeitplan[ENDSALDO],ROW()-ROW(ZahlungsZeitplan[[#Headers],[ANFANGSSALDO]])-1)),"")</f>
        <v/>
      </c>
      <c r="E360" s="195" t="str">
        <f ca="1">IF(ZahlungsZeitplan[[#This Row],['#]]&lt;&gt;"",PlanmäßigeZahlung,"")</f>
        <v/>
      </c>
      <c r="F36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0" s="195" t="str">
        <f ca="1">IF(ZahlungsZeitplan[[#This Row],['#]]&lt;&gt;"",ZahlungsZeitplan[[#This Row],[GESAMTZAHLUNG]]-ZahlungsZeitplan[[#This Row],[ZINSEN]],"")</f>
        <v/>
      </c>
      <c r="I360" s="195" t="str">
        <f ca="1">IF(ZahlungsZeitplan[[#This Row],['#]]&lt;=($D$8*12),IF(ZahlungsZeitplan[[#This Row],['#]]&lt;&gt;"",ZahlungsZeitplan[[#This Row],[ANFANGSSALDO]]*(ZinsSatz/ZahlungenProJahr),""),IF(ZahlungsZeitplan[[#This Row],['#]]&lt;&gt;"",ZahlungsZeitplan[[#This Row],[ANFANGSSALDO]]*((ZinsSatz+$D$9)/ZahlungenProJahr),""))</f>
        <v/>
      </c>
      <c r="J360" s="195" t="str">
        <f ca="1">IF(ZahlungsZeitplan[[#This Row],['#]]&lt;&gt;"",IF(ZahlungsZeitplan[[#This Row],[Zahlungen (Plan)]]+ZahlungsZeitplan[[#This Row],[SONDERZAHLUNG]]&lt;=ZahlungsZeitplan[[#This Row],[ANFANGSSALDO]],ZahlungsZeitplan[[#This Row],[ANFANGSSALDO]]-ZahlungsZeitplan[[#This Row],[KAPITAL]],0),"")</f>
        <v/>
      </c>
      <c r="K360" s="195" t="str">
        <f ca="1">IF(ZahlungsZeitplan[[#This Row],['#]]&lt;&gt;"",SUM(INDEX(ZahlungsZeitplan[ZINSEN],1,1):ZahlungsZeitplan[[#This Row],[ZINSEN]]),"")</f>
        <v/>
      </c>
    </row>
    <row r="361" spans="2:11">
      <c r="B361" s="193" t="str">
        <f ca="1">IF(DarlehenIstGut,IF(ROW()-ROW(ZahlungsZeitplan[[#Headers],['#]])&gt;PlanmäßigeAnzahlZahlungen,"",ROW()-ROW(ZahlungsZeitplan[[#Headers],['#]])),"")</f>
        <v/>
      </c>
      <c r="C361" s="194" t="str">
        <f ca="1">IF(ZahlungsZeitplan[[#This Row],['#]]&lt;&gt;"",EOMONTH(DarlehensAnfangsDatum,ROW(ZahlungsZeitplan[[#This Row],['#]])-ROW(ZahlungsZeitplan[[#Headers],['#]])-2)+DAY(DarlehensAnfangsDatum),"")</f>
        <v/>
      </c>
      <c r="D361" s="195" t="str">
        <f ca="1">IF(ZahlungsZeitplan[[#This Row],['#]]&lt;&gt;"",IF(ROW()-ROW(ZahlungsZeitplan[[#Headers],[ANFANGSSALDO]])=1,DarlehensBetrag,INDEX(ZahlungsZeitplan[ENDSALDO],ROW()-ROW(ZahlungsZeitplan[[#Headers],[ANFANGSSALDO]])-1)),"")</f>
        <v/>
      </c>
      <c r="E361" s="195" t="str">
        <f ca="1">IF(ZahlungsZeitplan[[#This Row],['#]]&lt;&gt;"",PlanmäßigeZahlung,"")</f>
        <v/>
      </c>
      <c r="F36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1" s="195" t="str">
        <f ca="1">IF(ZahlungsZeitplan[[#This Row],['#]]&lt;&gt;"",ZahlungsZeitplan[[#This Row],[GESAMTZAHLUNG]]-ZahlungsZeitplan[[#This Row],[ZINSEN]],"")</f>
        <v/>
      </c>
      <c r="I361" s="195" t="str">
        <f ca="1">IF(ZahlungsZeitplan[[#This Row],['#]]&lt;=($D$8*12),IF(ZahlungsZeitplan[[#This Row],['#]]&lt;&gt;"",ZahlungsZeitplan[[#This Row],[ANFANGSSALDO]]*(ZinsSatz/ZahlungenProJahr),""),IF(ZahlungsZeitplan[[#This Row],['#]]&lt;&gt;"",ZahlungsZeitplan[[#This Row],[ANFANGSSALDO]]*((ZinsSatz+$D$9)/ZahlungenProJahr),""))</f>
        <v/>
      </c>
      <c r="J361" s="195" t="str">
        <f ca="1">IF(ZahlungsZeitplan[[#This Row],['#]]&lt;&gt;"",IF(ZahlungsZeitplan[[#This Row],[Zahlungen (Plan)]]+ZahlungsZeitplan[[#This Row],[SONDERZAHLUNG]]&lt;=ZahlungsZeitplan[[#This Row],[ANFANGSSALDO]],ZahlungsZeitplan[[#This Row],[ANFANGSSALDO]]-ZahlungsZeitplan[[#This Row],[KAPITAL]],0),"")</f>
        <v/>
      </c>
      <c r="K361" s="195" t="str">
        <f ca="1">IF(ZahlungsZeitplan[[#This Row],['#]]&lt;&gt;"",SUM(INDEX(ZahlungsZeitplan[ZINSEN],1,1):ZahlungsZeitplan[[#This Row],[ZINSEN]]),"")</f>
        <v/>
      </c>
    </row>
    <row r="362" spans="2:11">
      <c r="B362" s="193" t="str">
        <f ca="1">IF(DarlehenIstGut,IF(ROW()-ROW(ZahlungsZeitplan[[#Headers],['#]])&gt;PlanmäßigeAnzahlZahlungen,"",ROW()-ROW(ZahlungsZeitplan[[#Headers],['#]])),"")</f>
        <v/>
      </c>
      <c r="C362" s="194" t="str">
        <f ca="1">IF(ZahlungsZeitplan[[#This Row],['#]]&lt;&gt;"",EOMONTH(DarlehensAnfangsDatum,ROW(ZahlungsZeitplan[[#This Row],['#]])-ROW(ZahlungsZeitplan[[#Headers],['#]])-2)+DAY(DarlehensAnfangsDatum),"")</f>
        <v/>
      </c>
      <c r="D362" s="195" t="str">
        <f ca="1">IF(ZahlungsZeitplan[[#This Row],['#]]&lt;&gt;"",IF(ROW()-ROW(ZahlungsZeitplan[[#Headers],[ANFANGSSALDO]])=1,DarlehensBetrag,INDEX(ZahlungsZeitplan[ENDSALDO],ROW()-ROW(ZahlungsZeitplan[[#Headers],[ANFANGSSALDO]])-1)),"")</f>
        <v/>
      </c>
      <c r="E362" s="195" t="str">
        <f ca="1">IF(ZahlungsZeitplan[[#This Row],['#]]&lt;&gt;"",PlanmäßigeZahlung,"")</f>
        <v/>
      </c>
      <c r="F36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2" s="195" t="str">
        <f ca="1">IF(ZahlungsZeitplan[[#This Row],['#]]&lt;&gt;"",ZahlungsZeitplan[[#This Row],[GESAMTZAHLUNG]]-ZahlungsZeitplan[[#This Row],[ZINSEN]],"")</f>
        <v/>
      </c>
      <c r="I362" s="195" t="str">
        <f ca="1">IF(ZahlungsZeitplan[[#This Row],['#]]&lt;=($D$8*12),IF(ZahlungsZeitplan[[#This Row],['#]]&lt;&gt;"",ZahlungsZeitplan[[#This Row],[ANFANGSSALDO]]*(ZinsSatz/ZahlungenProJahr),""),IF(ZahlungsZeitplan[[#This Row],['#]]&lt;&gt;"",ZahlungsZeitplan[[#This Row],[ANFANGSSALDO]]*((ZinsSatz+$D$9)/ZahlungenProJahr),""))</f>
        <v/>
      </c>
      <c r="J362" s="195" t="str">
        <f ca="1">IF(ZahlungsZeitplan[[#This Row],['#]]&lt;&gt;"",IF(ZahlungsZeitplan[[#This Row],[Zahlungen (Plan)]]+ZahlungsZeitplan[[#This Row],[SONDERZAHLUNG]]&lt;=ZahlungsZeitplan[[#This Row],[ANFANGSSALDO]],ZahlungsZeitplan[[#This Row],[ANFANGSSALDO]]-ZahlungsZeitplan[[#This Row],[KAPITAL]],0),"")</f>
        <v/>
      </c>
      <c r="K362" s="195" t="str">
        <f ca="1">IF(ZahlungsZeitplan[[#This Row],['#]]&lt;&gt;"",SUM(INDEX(ZahlungsZeitplan[ZINSEN],1,1):ZahlungsZeitplan[[#This Row],[ZINSEN]]),"")</f>
        <v/>
      </c>
    </row>
    <row r="363" spans="2:11">
      <c r="B363" s="193" t="str">
        <f ca="1">IF(DarlehenIstGut,IF(ROW()-ROW(ZahlungsZeitplan[[#Headers],['#]])&gt;PlanmäßigeAnzahlZahlungen,"",ROW()-ROW(ZahlungsZeitplan[[#Headers],['#]])),"")</f>
        <v/>
      </c>
      <c r="C363" s="194" t="str">
        <f ca="1">IF(ZahlungsZeitplan[[#This Row],['#]]&lt;&gt;"",EOMONTH(DarlehensAnfangsDatum,ROW(ZahlungsZeitplan[[#This Row],['#]])-ROW(ZahlungsZeitplan[[#Headers],['#]])-2)+DAY(DarlehensAnfangsDatum),"")</f>
        <v/>
      </c>
      <c r="D363" s="195" t="str">
        <f ca="1">IF(ZahlungsZeitplan[[#This Row],['#]]&lt;&gt;"",IF(ROW()-ROW(ZahlungsZeitplan[[#Headers],[ANFANGSSALDO]])=1,DarlehensBetrag,INDEX(ZahlungsZeitplan[ENDSALDO],ROW()-ROW(ZahlungsZeitplan[[#Headers],[ANFANGSSALDO]])-1)),"")</f>
        <v/>
      </c>
      <c r="E363" s="195" t="str">
        <f ca="1">IF(ZahlungsZeitplan[[#This Row],['#]]&lt;&gt;"",PlanmäßigeZahlung,"")</f>
        <v/>
      </c>
      <c r="F36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3" s="195" t="str">
        <f ca="1">IF(ZahlungsZeitplan[[#This Row],['#]]&lt;&gt;"",ZahlungsZeitplan[[#This Row],[GESAMTZAHLUNG]]-ZahlungsZeitplan[[#This Row],[ZINSEN]],"")</f>
        <v/>
      </c>
      <c r="I363" s="195" t="str">
        <f ca="1">IF(ZahlungsZeitplan[[#This Row],['#]]&lt;=($D$8*12),IF(ZahlungsZeitplan[[#This Row],['#]]&lt;&gt;"",ZahlungsZeitplan[[#This Row],[ANFANGSSALDO]]*(ZinsSatz/ZahlungenProJahr),""),IF(ZahlungsZeitplan[[#This Row],['#]]&lt;&gt;"",ZahlungsZeitplan[[#This Row],[ANFANGSSALDO]]*((ZinsSatz+$D$9)/ZahlungenProJahr),""))</f>
        <v/>
      </c>
      <c r="J363" s="195" t="str">
        <f ca="1">IF(ZahlungsZeitplan[[#This Row],['#]]&lt;&gt;"",IF(ZahlungsZeitplan[[#This Row],[Zahlungen (Plan)]]+ZahlungsZeitplan[[#This Row],[SONDERZAHLUNG]]&lt;=ZahlungsZeitplan[[#This Row],[ANFANGSSALDO]],ZahlungsZeitplan[[#This Row],[ANFANGSSALDO]]-ZahlungsZeitplan[[#This Row],[KAPITAL]],0),"")</f>
        <v/>
      </c>
      <c r="K363" s="195" t="str">
        <f ca="1">IF(ZahlungsZeitplan[[#This Row],['#]]&lt;&gt;"",SUM(INDEX(ZahlungsZeitplan[ZINSEN],1,1):ZahlungsZeitplan[[#This Row],[ZINSEN]]),"")</f>
        <v/>
      </c>
    </row>
    <row r="364" spans="2:11">
      <c r="B364" s="193" t="str">
        <f ca="1">IF(DarlehenIstGut,IF(ROW()-ROW(ZahlungsZeitplan[[#Headers],['#]])&gt;PlanmäßigeAnzahlZahlungen,"",ROW()-ROW(ZahlungsZeitplan[[#Headers],['#]])),"")</f>
        <v/>
      </c>
      <c r="C364" s="194" t="str">
        <f ca="1">IF(ZahlungsZeitplan[[#This Row],['#]]&lt;&gt;"",EOMONTH(DarlehensAnfangsDatum,ROW(ZahlungsZeitplan[[#This Row],['#]])-ROW(ZahlungsZeitplan[[#Headers],['#]])-2)+DAY(DarlehensAnfangsDatum),"")</f>
        <v/>
      </c>
      <c r="D364" s="195" t="str">
        <f ca="1">IF(ZahlungsZeitplan[[#This Row],['#]]&lt;&gt;"",IF(ROW()-ROW(ZahlungsZeitplan[[#Headers],[ANFANGSSALDO]])=1,DarlehensBetrag,INDEX(ZahlungsZeitplan[ENDSALDO],ROW()-ROW(ZahlungsZeitplan[[#Headers],[ANFANGSSALDO]])-1)),"")</f>
        <v/>
      </c>
      <c r="E364" s="195" t="str">
        <f ca="1">IF(ZahlungsZeitplan[[#This Row],['#]]&lt;&gt;"",PlanmäßigeZahlung,"")</f>
        <v/>
      </c>
      <c r="F364"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4"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4" s="195" t="str">
        <f ca="1">IF(ZahlungsZeitplan[[#This Row],['#]]&lt;&gt;"",ZahlungsZeitplan[[#This Row],[GESAMTZAHLUNG]]-ZahlungsZeitplan[[#This Row],[ZINSEN]],"")</f>
        <v/>
      </c>
      <c r="I364" s="195" t="str">
        <f ca="1">IF(ZahlungsZeitplan[[#This Row],['#]]&lt;=($D$8*12),IF(ZahlungsZeitplan[[#This Row],['#]]&lt;&gt;"",ZahlungsZeitplan[[#This Row],[ANFANGSSALDO]]*(ZinsSatz/ZahlungenProJahr),""),IF(ZahlungsZeitplan[[#This Row],['#]]&lt;&gt;"",ZahlungsZeitplan[[#This Row],[ANFANGSSALDO]]*((ZinsSatz+$D$9)/ZahlungenProJahr),""))</f>
        <v/>
      </c>
      <c r="J364" s="195" t="str">
        <f ca="1">IF(ZahlungsZeitplan[[#This Row],['#]]&lt;&gt;"",IF(ZahlungsZeitplan[[#This Row],[Zahlungen (Plan)]]+ZahlungsZeitplan[[#This Row],[SONDERZAHLUNG]]&lt;=ZahlungsZeitplan[[#This Row],[ANFANGSSALDO]],ZahlungsZeitplan[[#This Row],[ANFANGSSALDO]]-ZahlungsZeitplan[[#This Row],[KAPITAL]],0),"")</f>
        <v/>
      </c>
      <c r="K364" s="195" t="str">
        <f ca="1">IF(ZahlungsZeitplan[[#This Row],['#]]&lt;&gt;"",SUM(INDEX(ZahlungsZeitplan[ZINSEN],1,1):ZahlungsZeitplan[[#This Row],[ZINSEN]]),"")</f>
        <v/>
      </c>
    </row>
    <row r="365" spans="2:11">
      <c r="B365" s="193" t="str">
        <f ca="1">IF(DarlehenIstGut,IF(ROW()-ROW(ZahlungsZeitplan[[#Headers],['#]])&gt;PlanmäßigeAnzahlZahlungen,"",ROW()-ROW(ZahlungsZeitplan[[#Headers],['#]])),"")</f>
        <v/>
      </c>
      <c r="C365" s="194" t="str">
        <f ca="1">IF(ZahlungsZeitplan[[#This Row],['#]]&lt;&gt;"",EOMONTH(DarlehensAnfangsDatum,ROW(ZahlungsZeitplan[[#This Row],['#]])-ROW(ZahlungsZeitplan[[#Headers],['#]])-2)+DAY(DarlehensAnfangsDatum),"")</f>
        <v/>
      </c>
      <c r="D365" s="195" t="str">
        <f ca="1">IF(ZahlungsZeitplan[[#This Row],['#]]&lt;&gt;"",IF(ROW()-ROW(ZahlungsZeitplan[[#Headers],[ANFANGSSALDO]])=1,DarlehensBetrag,INDEX(ZahlungsZeitplan[ENDSALDO],ROW()-ROW(ZahlungsZeitplan[[#Headers],[ANFANGSSALDO]])-1)),"")</f>
        <v/>
      </c>
      <c r="E365" s="195" t="str">
        <f ca="1">IF(ZahlungsZeitplan[[#This Row],['#]]&lt;&gt;"",PlanmäßigeZahlung,"")</f>
        <v/>
      </c>
      <c r="F365"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5"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5" s="195" t="str">
        <f ca="1">IF(ZahlungsZeitplan[[#This Row],['#]]&lt;&gt;"",ZahlungsZeitplan[[#This Row],[GESAMTZAHLUNG]]-ZahlungsZeitplan[[#This Row],[ZINSEN]],"")</f>
        <v/>
      </c>
      <c r="I365" s="195" t="str">
        <f ca="1">IF(ZahlungsZeitplan[[#This Row],['#]]&lt;=($D$8*12),IF(ZahlungsZeitplan[[#This Row],['#]]&lt;&gt;"",ZahlungsZeitplan[[#This Row],[ANFANGSSALDO]]*(ZinsSatz/ZahlungenProJahr),""),IF(ZahlungsZeitplan[[#This Row],['#]]&lt;&gt;"",ZahlungsZeitplan[[#This Row],[ANFANGSSALDO]]*((ZinsSatz+$D$9)/ZahlungenProJahr),""))</f>
        <v/>
      </c>
      <c r="J365" s="195" t="str">
        <f ca="1">IF(ZahlungsZeitplan[[#This Row],['#]]&lt;&gt;"",IF(ZahlungsZeitplan[[#This Row],[Zahlungen (Plan)]]+ZahlungsZeitplan[[#This Row],[SONDERZAHLUNG]]&lt;=ZahlungsZeitplan[[#This Row],[ANFANGSSALDO]],ZahlungsZeitplan[[#This Row],[ANFANGSSALDO]]-ZahlungsZeitplan[[#This Row],[KAPITAL]],0),"")</f>
        <v/>
      </c>
      <c r="K365" s="195" t="str">
        <f ca="1">IF(ZahlungsZeitplan[[#This Row],['#]]&lt;&gt;"",SUM(INDEX(ZahlungsZeitplan[ZINSEN],1,1):ZahlungsZeitplan[[#This Row],[ZINSEN]]),"")</f>
        <v/>
      </c>
    </row>
    <row r="366" spans="2:11">
      <c r="B366" s="193" t="str">
        <f ca="1">IF(DarlehenIstGut,IF(ROW()-ROW(ZahlungsZeitplan[[#Headers],['#]])&gt;PlanmäßigeAnzahlZahlungen,"",ROW()-ROW(ZahlungsZeitplan[[#Headers],['#]])),"")</f>
        <v/>
      </c>
      <c r="C366" s="194" t="str">
        <f ca="1">IF(ZahlungsZeitplan[[#This Row],['#]]&lt;&gt;"",EOMONTH(DarlehensAnfangsDatum,ROW(ZahlungsZeitplan[[#This Row],['#]])-ROW(ZahlungsZeitplan[[#Headers],['#]])-2)+DAY(DarlehensAnfangsDatum),"")</f>
        <v/>
      </c>
      <c r="D366" s="195" t="str">
        <f ca="1">IF(ZahlungsZeitplan[[#This Row],['#]]&lt;&gt;"",IF(ROW()-ROW(ZahlungsZeitplan[[#Headers],[ANFANGSSALDO]])=1,DarlehensBetrag,INDEX(ZahlungsZeitplan[ENDSALDO],ROW()-ROW(ZahlungsZeitplan[[#Headers],[ANFANGSSALDO]])-1)),"")</f>
        <v/>
      </c>
      <c r="E366" s="195" t="str">
        <f ca="1">IF(ZahlungsZeitplan[[#This Row],['#]]&lt;&gt;"",PlanmäßigeZahlung,"")</f>
        <v/>
      </c>
      <c r="F366"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6"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6" s="195" t="str">
        <f ca="1">IF(ZahlungsZeitplan[[#This Row],['#]]&lt;&gt;"",ZahlungsZeitplan[[#This Row],[GESAMTZAHLUNG]]-ZahlungsZeitplan[[#This Row],[ZINSEN]],"")</f>
        <v/>
      </c>
      <c r="I366" s="195" t="str">
        <f ca="1">IF(ZahlungsZeitplan[[#This Row],['#]]&lt;=($D$8*12),IF(ZahlungsZeitplan[[#This Row],['#]]&lt;&gt;"",ZahlungsZeitplan[[#This Row],[ANFANGSSALDO]]*(ZinsSatz/ZahlungenProJahr),""),IF(ZahlungsZeitplan[[#This Row],['#]]&lt;&gt;"",ZahlungsZeitplan[[#This Row],[ANFANGSSALDO]]*((ZinsSatz+$D$9)/ZahlungenProJahr),""))</f>
        <v/>
      </c>
      <c r="J366" s="195" t="str">
        <f ca="1">IF(ZahlungsZeitplan[[#This Row],['#]]&lt;&gt;"",IF(ZahlungsZeitplan[[#This Row],[Zahlungen (Plan)]]+ZahlungsZeitplan[[#This Row],[SONDERZAHLUNG]]&lt;=ZahlungsZeitplan[[#This Row],[ANFANGSSALDO]],ZahlungsZeitplan[[#This Row],[ANFANGSSALDO]]-ZahlungsZeitplan[[#This Row],[KAPITAL]],0),"")</f>
        <v/>
      </c>
      <c r="K366" s="195" t="str">
        <f ca="1">IF(ZahlungsZeitplan[[#This Row],['#]]&lt;&gt;"",SUM(INDEX(ZahlungsZeitplan[ZINSEN],1,1):ZahlungsZeitplan[[#This Row],[ZINSEN]]),"")</f>
        <v/>
      </c>
    </row>
    <row r="367" spans="2:11">
      <c r="B367" s="193" t="str">
        <f ca="1">IF(DarlehenIstGut,IF(ROW()-ROW(ZahlungsZeitplan[[#Headers],['#]])&gt;PlanmäßigeAnzahlZahlungen,"",ROW()-ROW(ZahlungsZeitplan[[#Headers],['#]])),"")</f>
        <v/>
      </c>
      <c r="C367" s="194" t="str">
        <f ca="1">IF(ZahlungsZeitplan[[#This Row],['#]]&lt;&gt;"",EOMONTH(DarlehensAnfangsDatum,ROW(ZahlungsZeitplan[[#This Row],['#]])-ROW(ZahlungsZeitplan[[#Headers],['#]])-2)+DAY(DarlehensAnfangsDatum),"")</f>
        <v/>
      </c>
      <c r="D367" s="195" t="str">
        <f ca="1">IF(ZahlungsZeitplan[[#This Row],['#]]&lt;&gt;"",IF(ROW()-ROW(ZahlungsZeitplan[[#Headers],[ANFANGSSALDO]])=1,DarlehensBetrag,INDEX(ZahlungsZeitplan[ENDSALDO],ROW()-ROW(ZahlungsZeitplan[[#Headers],[ANFANGSSALDO]])-1)),"")</f>
        <v/>
      </c>
      <c r="E367" s="195" t="str">
        <f ca="1">IF(ZahlungsZeitplan[[#This Row],['#]]&lt;&gt;"",PlanmäßigeZahlung,"")</f>
        <v/>
      </c>
      <c r="F367"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7"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7" s="195" t="str">
        <f ca="1">IF(ZahlungsZeitplan[[#This Row],['#]]&lt;&gt;"",ZahlungsZeitplan[[#This Row],[GESAMTZAHLUNG]]-ZahlungsZeitplan[[#This Row],[ZINSEN]],"")</f>
        <v/>
      </c>
      <c r="I367" s="195" t="str">
        <f ca="1">IF(ZahlungsZeitplan[[#This Row],['#]]&lt;=($D$8*12),IF(ZahlungsZeitplan[[#This Row],['#]]&lt;&gt;"",ZahlungsZeitplan[[#This Row],[ANFANGSSALDO]]*(ZinsSatz/ZahlungenProJahr),""),IF(ZahlungsZeitplan[[#This Row],['#]]&lt;&gt;"",ZahlungsZeitplan[[#This Row],[ANFANGSSALDO]]*((ZinsSatz+$D$9)/ZahlungenProJahr),""))</f>
        <v/>
      </c>
      <c r="J367" s="195" t="str">
        <f ca="1">IF(ZahlungsZeitplan[[#This Row],['#]]&lt;&gt;"",IF(ZahlungsZeitplan[[#This Row],[Zahlungen (Plan)]]+ZahlungsZeitplan[[#This Row],[SONDERZAHLUNG]]&lt;=ZahlungsZeitplan[[#This Row],[ANFANGSSALDO]],ZahlungsZeitplan[[#This Row],[ANFANGSSALDO]]-ZahlungsZeitplan[[#This Row],[KAPITAL]],0),"")</f>
        <v/>
      </c>
      <c r="K367" s="195" t="str">
        <f ca="1">IF(ZahlungsZeitplan[[#This Row],['#]]&lt;&gt;"",SUM(INDEX(ZahlungsZeitplan[ZINSEN],1,1):ZahlungsZeitplan[[#This Row],[ZINSEN]]),"")</f>
        <v/>
      </c>
    </row>
    <row r="368" spans="2:11">
      <c r="B368" s="193" t="str">
        <f ca="1">IF(DarlehenIstGut,IF(ROW()-ROW(ZahlungsZeitplan[[#Headers],['#]])&gt;PlanmäßigeAnzahlZahlungen,"",ROW()-ROW(ZahlungsZeitplan[[#Headers],['#]])),"")</f>
        <v/>
      </c>
      <c r="C368" s="196" t="str">
        <f ca="1">IF(ZahlungsZeitplan[[#This Row],['#]]&lt;&gt;"",EOMONTH(DarlehensAnfangsDatum,ROW(ZahlungsZeitplan[[#This Row],['#]])-ROW(ZahlungsZeitplan[[#Headers],['#]])-2)+DAY(DarlehensAnfangsDatum),"")</f>
        <v/>
      </c>
      <c r="D368" s="195" t="str">
        <f ca="1">IF(ZahlungsZeitplan[[#This Row],['#]]&lt;&gt;"",IF(ROW()-ROW(ZahlungsZeitplan[[#Headers],[ANFANGSSALDO]])=1,DarlehensBetrag,INDEX(ZahlungsZeitplan[ENDSALDO],ROW()-ROW(ZahlungsZeitplan[[#Headers],[ANFANGSSALDO]])-1)),"")</f>
        <v/>
      </c>
      <c r="E368" s="195" t="str">
        <f ca="1">IF(ZahlungsZeitplan[[#This Row],['#]]&lt;&gt;"",PlanmäßigeZahlung,"")</f>
        <v/>
      </c>
      <c r="F368"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8"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8" s="195" t="str">
        <f ca="1">IF(ZahlungsZeitplan[[#This Row],['#]]&lt;&gt;"",ZahlungsZeitplan[[#This Row],[GESAMTZAHLUNG]]-ZahlungsZeitplan[[#This Row],[ZINSEN]],"")</f>
        <v/>
      </c>
      <c r="I368" s="195" t="str">
        <f ca="1">IF(ZahlungsZeitplan[[#This Row],['#]]&lt;=($D$8*12),IF(ZahlungsZeitplan[[#This Row],['#]]&lt;&gt;"",ZahlungsZeitplan[[#This Row],[ANFANGSSALDO]]*(ZinsSatz/ZahlungenProJahr),""),IF(ZahlungsZeitplan[[#This Row],['#]]&lt;&gt;"",ZahlungsZeitplan[[#This Row],[ANFANGSSALDO]]*((ZinsSatz+$D$9)/ZahlungenProJahr),""))</f>
        <v/>
      </c>
      <c r="J368" s="195" t="str">
        <f ca="1">IF(ZahlungsZeitplan[[#This Row],['#]]&lt;&gt;"",IF(ZahlungsZeitplan[[#This Row],[Zahlungen (Plan)]]+ZahlungsZeitplan[[#This Row],[SONDERZAHLUNG]]&lt;=ZahlungsZeitplan[[#This Row],[ANFANGSSALDO]],ZahlungsZeitplan[[#This Row],[ANFANGSSALDO]]-ZahlungsZeitplan[[#This Row],[KAPITAL]],0),"")</f>
        <v/>
      </c>
      <c r="K368" s="195" t="str">
        <f ca="1">IF(ZahlungsZeitplan[[#This Row],['#]]&lt;&gt;"",SUM(INDEX(ZahlungsZeitplan[ZINSEN],1,1):ZahlungsZeitplan[[#This Row],[ZINSEN]]),"")</f>
        <v/>
      </c>
    </row>
    <row r="369" spans="2:11">
      <c r="B369" s="193" t="str">
        <f ca="1">IF(DarlehenIstGut,IF(ROW()-ROW(ZahlungsZeitplan[[#Headers],['#]])&gt;PlanmäßigeAnzahlZahlungen,"",ROW()-ROW(ZahlungsZeitplan[[#Headers],['#]])),"")</f>
        <v/>
      </c>
      <c r="C369" s="196" t="str">
        <f ca="1">IF(ZahlungsZeitplan[[#This Row],['#]]&lt;&gt;"",EOMONTH(DarlehensAnfangsDatum,ROW(ZahlungsZeitplan[[#This Row],['#]])-ROW(ZahlungsZeitplan[[#Headers],['#]])-2)+DAY(DarlehensAnfangsDatum),"")</f>
        <v/>
      </c>
      <c r="D369" s="195" t="str">
        <f ca="1">IF(ZahlungsZeitplan[[#This Row],['#]]&lt;&gt;"",IF(ROW()-ROW(ZahlungsZeitplan[[#Headers],[ANFANGSSALDO]])=1,DarlehensBetrag,INDEX(ZahlungsZeitplan[ENDSALDO],ROW()-ROW(ZahlungsZeitplan[[#Headers],[ANFANGSSALDO]])-1)),"")</f>
        <v/>
      </c>
      <c r="E369" s="195" t="str">
        <f ca="1">IF(ZahlungsZeitplan[[#This Row],['#]]&lt;&gt;"",PlanmäßigeZahlung,"")</f>
        <v/>
      </c>
      <c r="F369"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69"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69" s="195" t="str">
        <f ca="1">IF(ZahlungsZeitplan[[#This Row],['#]]&lt;&gt;"",ZahlungsZeitplan[[#This Row],[GESAMTZAHLUNG]]-ZahlungsZeitplan[[#This Row],[ZINSEN]],"")</f>
        <v/>
      </c>
      <c r="I369" s="195" t="str">
        <f ca="1">IF(ZahlungsZeitplan[[#This Row],['#]]&lt;=($D$8*12),IF(ZahlungsZeitplan[[#This Row],['#]]&lt;&gt;"",ZahlungsZeitplan[[#This Row],[ANFANGSSALDO]]*(ZinsSatz/ZahlungenProJahr),""),IF(ZahlungsZeitplan[[#This Row],['#]]&lt;&gt;"",ZahlungsZeitplan[[#This Row],[ANFANGSSALDO]]*((ZinsSatz+$D$9)/ZahlungenProJahr),""))</f>
        <v/>
      </c>
      <c r="J369" s="195" t="str">
        <f ca="1">IF(ZahlungsZeitplan[[#This Row],['#]]&lt;&gt;"",IF(ZahlungsZeitplan[[#This Row],[Zahlungen (Plan)]]+ZahlungsZeitplan[[#This Row],[SONDERZAHLUNG]]&lt;=ZahlungsZeitplan[[#This Row],[ANFANGSSALDO]],ZahlungsZeitplan[[#This Row],[ANFANGSSALDO]]-ZahlungsZeitplan[[#This Row],[KAPITAL]],0),"")</f>
        <v/>
      </c>
      <c r="K369" s="195" t="str">
        <f ca="1">IF(ZahlungsZeitplan[[#This Row],['#]]&lt;&gt;"",SUM(INDEX(ZahlungsZeitplan[ZINSEN],1,1):ZahlungsZeitplan[[#This Row],[ZINSEN]]),"")</f>
        <v/>
      </c>
    </row>
    <row r="370" spans="2:11">
      <c r="B370" s="193" t="str">
        <f ca="1">IF(DarlehenIstGut,IF(ROW()-ROW(ZahlungsZeitplan[[#Headers],['#]])&gt;PlanmäßigeAnzahlZahlungen,"",ROW()-ROW(ZahlungsZeitplan[[#Headers],['#]])),"")</f>
        <v/>
      </c>
      <c r="C370" s="196" t="str">
        <f ca="1">IF(ZahlungsZeitplan[[#This Row],['#]]&lt;&gt;"",EOMONTH(DarlehensAnfangsDatum,ROW(ZahlungsZeitplan[[#This Row],['#]])-ROW(ZahlungsZeitplan[[#Headers],['#]])-2)+DAY(DarlehensAnfangsDatum),"")</f>
        <v/>
      </c>
      <c r="D370" s="195" t="str">
        <f ca="1">IF(ZahlungsZeitplan[[#This Row],['#]]&lt;&gt;"",IF(ROW()-ROW(ZahlungsZeitplan[[#Headers],[ANFANGSSALDO]])=1,DarlehensBetrag,INDEX(ZahlungsZeitplan[ENDSALDO],ROW()-ROW(ZahlungsZeitplan[[#Headers],[ANFANGSSALDO]])-1)),"")</f>
        <v/>
      </c>
      <c r="E370" s="195" t="str">
        <f ca="1">IF(ZahlungsZeitplan[[#This Row],['#]]&lt;&gt;"",PlanmäßigeZahlung,"")</f>
        <v/>
      </c>
      <c r="F370"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0"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70" s="195" t="str">
        <f ca="1">IF(ZahlungsZeitplan[[#This Row],['#]]&lt;&gt;"",ZahlungsZeitplan[[#This Row],[GESAMTZAHLUNG]]-ZahlungsZeitplan[[#This Row],[ZINSEN]],"")</f>
        <v/>
      </c>
      <c r="I370" s="195" t="str">
        <f ca="1">IF(ZahlungsZeitplan[[#This Row],['#]]&lt;=($D$8*12),IF(ZahlungsZeitplan[[#This Row],['#]]&lt;&gt;"",ZahlungsZeitplan[[#This Row],[ANFANGSSALDO]]*(ZinsSatz/ZahlungenProJahr),""),IF(ZahlungsZeitplan[[#This Row],['#]]&lt;&gt;"",ZahlungsZeitplan[[#This Row],[ANFANGSSALDO]]*((ZinsSatz+$D$9)/ZahlungenProJahr),""))</f>
        <v/>
      </c>
      <c r="J370" s="195" t="str">
        <f ca="1">IF(ZahlungsZeitplan[[#This Row],['#]]&lt;&gt;"",IF(ZahlungsZeitplan[[#This Row],[Zahlungen (Plan)]]+ZahlungsZeitplan[[#This Row],[SONDERZAHLUNG]]&lt;=ZahlungsZeitplan[[#This Row],[ANFANGSSALDO]],ZahlungsZeitplan[[#This Row],[ANFANGSSALDO]]-ZahlungsZeitplan[[#This Row],[KAPITAL]],0),"")</f>
        <v/>
      </c>
      <c r="K370" s="195" t="str">
        <f ca="1">IF(ZahlungsZeitplan[[#This Row],['#]]&lt;&gt;"",SUM(INDEX(ZahlungsZeitplan[ZINSEN],1,1):ZahlungsZeitplan[[#This Row],[ZINSEN]]),"")</f>
        <v/>
      </c>
    </row>
    <row r="371" spans="2:11">
      <c r="B371" s="193" t="str">
        <f ca="1">IF(DarlehenIstGut,IF(ROW()-ROW(ZahlungsZeitplan[[#Headers],['#]])&gt;PlanmäßigeAnzahlZahlungen,"",ROW()-ROW(ZahlungsZeitplan[[#Headers],['#]])),"")</f>
        <v/>
      </c>
      <c r="C371" s="196" t="str">
        <f ca="1">IF(ZahlungsZeitplan[[#This Row],['#]]&lt;&gt;"",EOMONTH(DarlehensAnfangsDatum,ROW(ZahlungsZeitplan[[#This Row],['#]])-ROW(ZahlungsZeitplan[[#Headers],['#]])-2)+DAY(DarlehensAnfangsDatum),"")</f>
        <v/>
      </c>
      <c r="D371" s="195" t="str">
        <f ca="1">IF(ZahlungsZeitplan[[#This Row],['#]]&lt;&gt;"",IF(ROW()-ROW(ZahlungsZeitplan[[#Headers],[ANFANGSSALDO]])=1,DarlehensBetrag,INDEX(ZahlungsZeitplan[ENDSALDO],ROW()-ROW(ZahlungsZeitplan[[#Headers],[ANFANGSSALDO]])-1)),"")</f>
        <v/>
      </c>
      <c r="E371" s="195" t="str">
        <f ca="1">IF(ZahlungsZeitplan[[#This Row],['#]]&lt;&gt;"",PlanmäßigeZahlung,"")</f>
        <v/>
      </c>
      <c r="F371"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1"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71" s="195" t="str">
        <f ca="1">IF(ZahlungsZeitplan[[#This Row],['#]]&lt;&gt;"",ZahlungsZeitplan[[#This Row],[GESAMTZAHLUNG]]-ZahlungsZeitplan[[#This Row],[ZINSEN]],"")</f>
        <v/>
      </c>
      <c r="I371" s="195" t="str">
        <f ca="1">IF(ZahlungsZeitplan[[#This Row],['#]]&lt;=($D$8*12),IF(ZahlungsZeitplan[[#This Row],['#]]&lt;&gt;"",ZahlungsZeitplan[[#This Row],[ANFANGSSALDO]]*(ZinsSatz/ZahlungenProJahr),""),IF(ZahlungsZeitplan[[#This Row],['#]]&lt;&gt;"",ZahlungsZeitplan[[#This Row],[ANFANGSSALDO]]*((ZinsSatz+$D$9)/ZahlungenProJahr),""))</f>
        <v/>
      </c>
      <c r="J371" s="195" t="str">
        <f ca="1">IF(ZahlungsZeitplan[[#This Row],['#]]&lt;&gt;"",IF(ZahlungsZeitplan[[#This Row],[Zahlungen (Plan)]]+ZahlungsZeitplan[[#This Row],[SONDERZAHLUNG]]&lt;=ZahlungsZeitplan[[#This Row],[ANFANGSSALDO]],ZahlungsZeitplan[[#This Row],[ANFANGSSALDO]]-ZahlungsZeitplan[[#This Row],[KAPITAL]],0),"")</f>
        <v/>
      </c>
      <c r="K371" s="195" t="str">
        <f ca="1">IF(ZahlungsZeitplan[[#This Row],['#]]&lt;&gt;"",SUM(INDEX(ZahlungsZeitplan[ZINSEN],1,1):ZahlungsZeitplan[[#This Row],[ZINSEN]]),"")</f>
        <v/>
      </c>
    </row>
    <row r="372" spans="2:11">
      <c r="B372" s="193" t="str">
        <f ca="1">IF(DarlehenIstGut,IF(ROW()-ROW(ZahlungsZeitplan[[#Headers],['#]])&gt;PlanmäßigeAnzahlZahlungen,"",ROW()-ROW(ZahlungsZeitplan[[#Headers],['#]])),"")</f>
        <v/>
      </c>
      <c r="C372" s="196" t="str">
        <f ca="1">IF(ZahlungsZeitplan[[#This Row],['#]]&lt;&gt;"",EOMONTH(DarlehensAnfangsDatum,ROW(ZahlungsZeitplan[[#This Row],['#]])-ROW(ZahlungsZeitplan[[#Headers],['#]])-2)+DAY(DarlehensAnfangsDatum),"")</f>
        <v/>
      </c>
      <c r="D372" s="195" t="str">
        <f ca="1">IF(ZahlungsZeitplan[[#This Row],['#]]&lt;&gt;"",IF(ROW()-ROW(ZahlungsZeitplan[[#Headers],[ANFANGSSALDO]])=1,DarlehensBetrag,INDEX(ZahlungsZeitplan[ENDSALDO],ROW()-ROW(ZahlungsZeitplan[[#Headers],[ANFANGSSALDO]])-1)),"")</f>
        <v/>
      </c>
      <c r="E372" s="195" t="str">
        <f ca="1">IF(ZahlungsZeitplan[[#This Row],['#]]&lt;&gt;"",PlanmäßigeZahlung,"")</f>
        <v/>
      </c>
      <c r="F372"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2"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72" s="195" t="str">
        <f ca="1">IF(ZahlungsZeitplan[[#This Row],['#]]&lt;&gt;"",ZahlungsZeitplan[[#This Row],[GESAMTZAHLUNG]]-ZahlungsZeitplan[[#This Row],[ZINSEN]],"")</f>
        <v/>
      </c>
      <c r="I372" s="195" t="str">
        <f ca="1">IF(ZahlungsZeitplan[[#This Row],['#]]&lt;=($D$8*12),IF(ZahlungsZeitplan[[#This Row],['#]]&lt;&gt;"",ZahlungsZeitplan[[#This Row],[ANFANGSSALDO]]*(ZinsSatz/ZahlungenProJahr),""),IF(ZahlungsZeitplan[[#This Row],['#]]&lt;&gt;"",ZahlungsZeitplan[[#This Row],[ANFANGSSALDO]]*((ZinsSatz+$D$9)/ZahlungenProJahr),""))</f>
        <v/>
      </c>
      <c r="J372" s="195" t="str">
        <f ca="1">IF(ZahlungsZeitplan[[#This Row],['#]]&lt;&gt;"",IF(ZahlungsZeitplan[[#This Row],[Zahlungen (Plan)]]+ZahlungsZeitplan[[#This Row],[SONDERZAHLUNG]]&lt;=ZahlungsZeitplan[[#This Row],[ANFANGSSALDO]],ZahlungsZeitplan[[#This Row],[ANFANGSSALDO]]-ZahlungsZeitplan[[#This Row],[KAPITAL]],0),"")</f>
        <v/>
      </c>
      <c r="K372" s="195" t="str">
        <f ca="1">IF(ZahlungsZeitplan[[#This Row],['#]]&lt;&gt;"",SUM(INDEX(ZahlungsZeitplan[ZINSEN],1,1):ZahlungsZeitplan[[#This Row],[ZINSEN]]),"")</f>
        <v/>
      </c>
    </row>
    <row r="373" spans="2:11">
      <c r="B373" s="193" t="str">
        <f ca="1">IF(DarlehenIstGut,IF(ROW()-ROW(ZahlungsZeitplan[[#Headers],['#]])&gt;PlanmäßigeAnzahlZahlungen,"",ROW()-ROW(ZahlungsZeitplan[[#Headers],['#]])),"")</f>
        <v/>
      </c>
      <c r="C373" s="196" t="str">
        <f ca="1">IF(ZahlungsZeitplan[[#This Row],['#]]&lt;&gt;"",EOMONTH(DarlehensAnfangsDatum,ROW(ZahlungsZeitplan[[#This Row],['#]])-ROW(ZahlungsZeitplan[[#Headers],['#]])-2)+DAY(DarlehensAnfangsDatum),"")</f>
        <v/>
      </c>
      <c r="D373" s="195" t="str">
        <f ca="1">IF(ZahlungsZeitplan[[#This Row],['#]]&lt;&gt;"",IF(ROW()-ROW(ZahlungsZeitplan[[#Headers],[ANFANGSSALDO]])=1,DarlehensBetrag,INDEX(ZahlungsZeitplan[ENDSALDO],ROW()-ROW(ZahlungsZeitplan[[#Headers],[ANFANGSSALDO]])-1)),"")</f>
        <v/>
      </c>
      <c r="E373" s="195" t="str">
        <f ca="1">IF(ZahlungsZeitplan[[#This Row],['#]]&lt;&gt;"",PlanmäßigeZahlung,"")</f>
        <v/>
      </c>
      <c r="F373" s="195" t="str">
        <f ca="1">IF(ZahlungsZeitplan[[#This Row],['#]]&lt;&gt;"",IF(ZahlungsZeitplan[[#This Row],[Zahlungen (Plan)]]+SonderZahlungen&lt;ZahlungsZeitplan[[#This Row],[ANFANGSSALDO]],SonderZahlungen,IF(ZahlungsZeitplan[[#This Row],[ANFANGSSALDO]]-ZahlungsZeitplan[[#This Row],[Zahlungen (Plan)]]&gt;0,ZahlungsZeitplan[[#This Row],[ANFANGSSALDO]]-ZahlungsZeitplan[[#This Row],[Zahlungen (Plan)]],0)),"")</f>
        <v/>
      </c>
      <c r="G373" s="195" t="str">
        <f ca="1">IF(ZahlungsZeitplan[[#This Row],['#]]&lt;&gt;"",IF(ZahlungsZeitplan[[#This Row],[Zahlungen (Plan)]]+ZahlungsZeitplan[[#This Row],[SONDERZAHLUNG]]&lt;=ZahlungsZeitplan[[#This Row],[ANFANGSSALDO]],ZahlungsZeitplan[[#This Row],[Zahlungen (Plan)]]+ZahlungsZeitplan[[#This Row],[SONDERZAHLUNG]],ZahlungsZeitplan[[#This Row],[ANFANGSSALDO]]),"")</f>
        <v/>
      </c>
      <c r="H373" s="195" t="str">
        <f ca="1">IF(ZahlungsZeitplan[[#This Row],['#]]&lt;&gt;"",ZahlungsZeitplan[[#This Row],[GESAMTZAHLUNG]]-ZahlungsZeitplan[[#This Row],[ZINSEN]],"")</f>
        <v/>
      </c>
      <c r="I373" s="195" t="str">
        <f ca="1">IF(ZahlungsZeitplan[[#This Row],['#]]&lt;=($D$8*12),IF(ZahlungsZeitplan[[#This Row],['#]]&lt;&gt;"",ZahlungsZeitplan[[#This Row],[ANFANGSSALDO]]*(ZinsSatz/ZahlungenProJahr),""),IF(ZahlungsZeitplan[[#This Row],['#]]&lt;&gt;"",ZahlungsZeitplan[[#This Row],[ANFANGSSALDO]]*((ZinsSatz+$D$9)/ZahlungenProJahr),""))</f>
        <v/>
      </c>
      <c r="J373" s="195" t="str">
        <f ca="1">IF(ZahlungsZeitplan[[#This Row],['#]]&lt;&gt;"",IF(ZahlungsZeitplan[[#This Row],[Zahlungen (Plan)]]+ZahlungsZeitplan[[#This Row],[SONDERZAHLUNG]]&lt;=ZahlungsZeitplan[[#This Row],[ANFANGSSALDO]],ZahlungsZeitplan[[#This Row],[ANFANGSSALDO]]-ZahlungsZeitplan[[#This Row],[KAPITAL]],0),"")</f>
        <v/>
      </c>
      <c r="K373" s="195" t="str">
        <f ca="1">IF(ZahlungsZeitplan[[#This Row],['#]]&lt;&gt;"",SUM(INDEX(ZahlungsZeitplan[ZINSEN],1,1):ZahlungsZeitplan[[#This Row],[ZINSEN]]),"")</f>
        <v/>
      </c>
    </row>
  </sheetData>
  <mergeCells count="5">
    <mergeCell ref="B2:D2"/>
    <mergeCell ref="J6:J7"/>
    <mergeCell ref="I10:K10"/>
    <mergeCell ref="I8:J8"/>
    <mergeCell ref="I11:J11"/>
  </mergeCells>
  <conditionalFormatting sqref="B14:K373">
    <cfRule type="expression" dxfId="12" priority="1">
      <formula>($B14="")+(($D14=0)*($F14=0))</formula>
    </cfRule>
  </conditionalFormatting>
  <dataValidations count="14">
    <dataValidation allowBlank="1" showInputMessage="1" showErrorMessage="1" prompt="Die kumulierten Zinsen in dieser Spalte werden automatisch aktualisiert" sqref="K13"/>
    <dataValidation allowBlank="1" showInputMessage="1" showErrorMessage="1" prompt="Der Endsaldo in dieser Spalte wird automatisch aktualisiert" sqref="J13"/>
    <dataValidation allowBlank="1" showInputMessage="1" showErrorMessage="1" prompt="Der Zins in dieser Spalte wird automatisch aktualisiert" sqref="I13"/>
    <dataValidation allowBlank="1" showInputMessage="1" showErrorMessage="1" prompt="Das Kapital in dieser Spalte wird automatisch aktualisiert" sqref="H13"/>
    <dataValidation allowBlank="1" showInputMessage="1" showErrorMessage="1" prompt="Sie Summe der Zahlungen in dieser Spalte wird automatisch aktualisiert" sqref="G13"/>
    <dataValidation allowBlank="1" showInputMessage="1" showErrorMessage="1" prompt="Die Sonderzahlung in dieser Spalte wird automatisch aktualisiert" sqref="F13"/>
    <dataValidation allowBlank="1" showInputMessage="1" showErrorMessage="1" prompt="Die planmäßige Zahlung in dieser Spalte wird automatisch aktualisiert" sqref="E13"/>
    <dataValidation allowBlank="1" showInputMessage="1" showErrorMessage="1" prompt="Der Anfangssaldo in dieser Spalte wird automatisch aktualisiert" sqref="D13"/>
    <dataValidation allowBlank="1" showInputMessage="1" showErrorMessage="1" prompt="Das Zahlungsdatum in dieser Spalte wird automatisch aktualisiert" sqref="C13"/>
    <dataValidation allowBlank="1" showInputMessage="1" showErrorMessage="1" prompt="Die Zahlungsnummer in dieser Spalte wird automatisch aktualisiert" sqref="B13"/>
    <dataValidation allowBlank="1" showInputMessage="1" showErrorMessage="1" prompt="Titel des Arbeitsblatts befindet sich in dieser Zelle. Geben Sie die Darlehenswerte in den Zellen E3 bis E7 und Sonderzahlungen in Zelle E9 ein, die Darlehensübersicht in Spalte I und die Tabelle mit dem Zahlungszeitplan werden automatisch aktualisiert" sqref="B2:B3"/>
    <dataValidation allowBlank="1" showInputMessage="1" showErrorMessage="1" prompt="Die Darlehensübersichtsfelder von I3 bis I7 werden auf der Grundlage der eingegebenen Werte automatisch angepasst. Geben Sie den Namen des Darlehensgebers in I9 ein" sqref="F4 I4"/>
    <dataValidation allowBlank="1" showInputMessage="1" showErrorMessage="1" prompt="Geben Sie die Darlehenswerte in die Zellen E3 bis E7 und E9 ein. Die Beschreibung der einzelnen Darlehenswerte befindet sich in Spalte C. Die Zahlungszeitplantabelle, die in Zelle B11 beginnt, wird automatisch aktualisiert" sqref="C4"/>
    <dataValidation allowBlank="1" showInputMessage="1" showErrorMessage="1" prompt="Diese Arbeitsmappe erstellt einen Zeitplan für die Darlehenstilgung, der die Gesamtzinsen und Gesamtzahlungen berechnet und eine Option für Sonderzahlungen umfasst" sqref="A2:A3"/>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1" tint="0.249977111117893"/>
  </sheetPr>
  <dimension ref="B1:F7"/>
  <sheetViews>
    <sheetView zoomScaleNormal="100" workbookViewId="0">
      <selection activeCell="C13" sqref="A1:XFD1048576"/>
    </sheetView>
  </sheetViews>
  <sheetFormatPr baseColWidth="10" defaultColWidth="11.42578125" defaultRowHeight="12.75"/>
  <cols>
    <col min="1" max="1" width="4.140625" style="208" customWidth="1"/>
    <col min="2" max="2" width="22" style="208" customWidth="1"/>
    <col min="3" max="16384" width="11.42578125" style="208"/>
  </cols>
  <sheetData>
    <row r="1" spans="2:6" s="111" customFormat="1" ht="6" thickBot="1"/>
    <row r="2" spans="2:6" ht="13.5" thickBot="1">
      <c r="B2" s="314" t="s">
        <v>58</v>
      </c>
      <c r="C2" s="315"/>
      <c r="D2" s="315"/>
      <c r="E2" s="316"/>
    </row>
    <row r="3" spans="2:6" ht="13.5" thickBot="1">
      <c r="B3" s="209" t="s">
        <v>59</v>
      </c>
      <c r="C3" s="210" t="s">
        <v>60</v>
      </c>
      <c r="D3" s="211" t="s">
        <v>61</v>
      </c>
      <c r="E3" s="212" t="s">
        <v>62</v>
      </c>
    </row>
    <row r="4" spans="2:6">
      <c r="B4" s="213" t="s">
        <v>14</v>
      </c>
      <c r="C4" s="214">
        <v>0.05</v>
      </c>
      <c r="D4" s="214">
        <v>0.04</v>
      </c>
      <c r="E4" s="215">
        <v>0.03</v>
      </c>
      <c r="F4" s="208" t="str">
        <f>IF(NOT(AND(C4&gt;D4,D4&gt;E4)),"Ungültige Kombination. Grün muss &gt; gelb muss &gt; rot sein.","")</f>
        <v/>
      </c>
    </row>
    <row r="5" spans="2:6">
      <c r="B5" s="216" t="s">
        <v>16</v>
      </c>
      <c r="C5" s="217">
        <v>0.04</v>
      </c>
      <c r="D5" s="217">
        <v>0.03</v>
      </c>
      <c r="E5" s="218">
        <v>0.02</v>
      </c>
      <c r="F5" s="208" t="str">
        <f>IF(NOT(AND(C5&gt;D5,D5&gt;E5)),"Ungültige Kombination. Grün muss &gt; gelb muss &gt; rot sein.","")</f>
        <v/>
      </c>
    </row>
    <row r="6" spans="2:6">
      <c r="B6" s="216" t="s">
        <v>42</v>
      </c>
      <c r="C6" s="217">
        <v>0.15</v>
      </c>
      <c r="D6" s="217">
        <v>7.4999999999999997E-2</v>
      </c>
      <c r="E6" s="218">
        <v>0.04</v>
      </c>
      <c r="F6" s="208" t="str">
        <f>IF(NOT(AND(C6&gt;D6,D6&gt;E6)),"Ungültige Kombination. Grün muss &gt; gelb muss &gt; rot sein.","")</f>
        <v/>
      </c>
    </row>
    <row r="7" spans="2:6" ht="13.5" thickBot="1">
      <c r="B7" s="219" t="s">
        <v>63</v>
      </c>
      <c r="C7" s="220">
        <v>50</v>
      </c>
      <c r="D7" s="220">
        <v>0</v>
      </c>
      <c r="E7" s="221">
        <v>-300</v>
      </c>
      <c r="F7" s="208" t="str">
        <f>IF(NOT(AND(C7&gt;D7,D7&gt;E7)),"Ungültige Kombination. Grün muss &gt; gelb muss &gt; rot sein.","")</f>
        <v/>
      </c>
    </row>
  </sheetData>
  <mergeCells count="1">
    <mergeCell ref="B2:E2"/>
  </mergeCells>
  <dataValidations count="1">
    <dataValidation allowBlank="1" showInputMessage="1" showErrorMessage="1" promptTitle="Schwellwerte Kennzahlen-Farben" prompt="Hier kannst du die Schwellwerte festlegen, die für die Formatierung der Kennzahlen auf den verschiedenen Tabellenblättern verwendet werden. Passe diese deinen Erwartungen und deinem Standort an." sqref="B2:E2"/>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17</vt:i4>
      </vt:variant>
    </vt:vector>
  </HeadingPairs>
  <TitlesOfParts>
    <vt:vector size="22" baseType="lpstr">
      <vt:lpstr>Immobilie</vt:lpstr>
      <vt:lpstr>Übersicht</vt:lpstr>
      <vt:lpstr>Bank</vt:lpstr>
      <vt:lpstr>Darlehen</vt:lpstr>
      <vt:lpstr>Konfiguration</vt:lpstr>
      <vt:lpstr>DarlehensAnfangsDatum</vt:lpstr>
      <vt:lpstr>DarlehensBetrag</vt:lpstr>
      <vt:lpstr>DarlehensZeitraum</vt:lpstr>
      <vt:lpstr>Bank!Druckbereich</vt:lpstr>
      <vt:lpstr>Übersicht!Druckbereich</vt:lpstr>
      <vt:lpstr>Darlehen!Drucktitel</vt:lpstr>
      <vt:lpstr>End_Saldo</vt:lpstr>
      <vt:lpstr>PlanmäßigeAnzahlZahlungen</vt:lpstr>
      <vt:lpstr>PlanmäßigeZahlung</vt:lpstr>
      <vt:lpstr>SonderZahlungen</vt:lpstr>
      <vt:lpstr>Spaltentitel1</vt:lpstr>
      <vt:lpstr>ZahlungenProJahr</vt:lpstr>
      <vt:lpstr>ZeilenTitelBereich1...E9</vt:lpstr>
      <vt:lpstr>ZeilenTitelBereich2...I7</vt:lpstr>
      <vt:lpstr>ZeilenTitelBereich3...E9</vt:lpstr>
      <vt:lpstr>ZeilenTitelBereich4...H9</vt:lpstr>
      <vt:lpstr>ZinsSatz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 Dennis</dc:creator>
  <cp:lastModifiedBy>Dennis Horn</cp:lastModifiedBy>
  <cp:lastPrinted>2021-09-16T08:31:00Z</cp:lastPrinted>
  <dcterms:created xsi:type="dcterms:W3CDTF">2018-07-17T07:59:05Z</dcterms:created>
  <dcterms:modified xsi:type="dcterms:W3CDTF">2024-02-04T21:50:45Z</dcterms:modified>
</cp:coreProperties>
</file>